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I:\DADM\ALOG\DCAD\Processos Licitatórios\Editais\2026\Pregão\2 - Numerados\15 - Telefonista e recepcionista (DSAD) - RC 7154\fase externa\Edital, Relação de Itens, Publicação DOU\"/>
    </mc:Choice>
  </mc:AlternateContent>
  <xr:revisionPtr revIDLastSave="0" documentId="13_ncr:1_{46BCCE5C-7460-4755-A133-A68E445CFDFF}" xr6:coauthVersionLast="47" xr6:coauthVersionMax="47" xr10:uidLastSave="{00000000-0000-0000-0000-000000000000}"/>
  <bookViews>
    <workbookView xWindow="-120" yWindow="-120" windowWidth="20730" windowHeight="11040" tabRatio="681" xr2:uid="{00000000-000D-0000-FFFF-FFFF00000000}"/>
  </bookViews>
  <sheets>
    <sheet name="Quadro resumo" sheetId="7" r:id="rId1"/>
    <sheet name="Recepcionista" sheetId="27" r:id="rId2"/>
    <sheet name="Telefonista" sheetId="28" r:id="rId3"/>
    <sheet name="Insumos" sheetId="23" r:id="rId4"/>
  </sheets>
  <definedNames>
    <definedName name="_xlnm.Print_Area" localSheetId="2">Telefonista!$A$1:$I$148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6" i="28" l="1"/>
  <c r="A17" i="23"/>
  <c r="A18" i="23" s="1"/>
  <c r="A19" i="23" s="1"/>
  <c r="A20" i="23" s="1"/>
  <c r="A21" i="23" s="1"/>
  <c r="F21" i="23"/>
  <c r="G21" i="23" s="1"/>
  <c r="F20" i="23"/>
  <c r="G20" i="23" s="1"/>
  <c r="F19" i="23"/>
  <c r="G19" i="23" s="1"/>
  <c r="F18" i="23"/>
  <c r="G18" i="23" s="1"/>
  <c r="F17" i="23"/>
  <c r="G17" i="23" s="1"/>
  <c r="F16" i="23"/>
  <c r="G16" i="23" s="1"/>
  <c r="H60" i="27"/>
  <c r="H61" i="27"/>
  <c r="H61" i="28"/>
  <c r="H60" i="28"/>
  <c r="H64" i="28" s="1"/>
  <c r="H70" i="28" s="1"/>
  <c r="C11" i="7"/>
  <c r="G144" i="28"/>
  <c r="G143" i="28"/>
  <c r="G142" i="28"/>
  <c r="G117" i="28"/>
  <c r="G79" i="28"/>
  <c r="G56" i="28"/>
  <c r="G49" i="28"/>
  <c r="G42" i="28"/>
  <c r="G41" i="28"/>
  <c r="G43" i="28" s="1"/>
  <c r="H34" i="28"/>
  <c r="H30" i="28" s="1"/>
  <c r="H27" i="28"/>
  <c r="H26" i="28"/>
  <c r="F6" i="23"/>
  <c r="G6" i="23" s="1"/>
  <c r="F7" i="23"/>
  <c r="G7" i="23" s="1"/>
  <c r="F8" i="23"/>
  <c r="G8" i="23" s="1"/>
  <c r="F9" i="23"/>
  <c r="G9" i="23" s="1"/>
  <c r="F10" i="23"/>
  <c r="G10" i="23" s="1"/>
  <c r="F5" i="23"/>
  <c r="H27" i="27"/>
  <c r="H34" i="27"/>
  <c r="H30" i="27" s="1"/>
  <c r="G79" i="27"/>
  <c r="G22" i="23" l="1"/>
  <c r="H28" i="28"/>
  <c r="H29" i="28"/>
  <c r="H32" i="28" l="1"/>
  <c r="H127" i="28"/>
  <c r="H42" i="28"/>
  <c r="H41" i="28"/>
  <c r="H43" i="28" s="1"/>
  <c r="G144" i="27"/>
  <c r="G143" i="27"/>
  <c r="G142" i="27"/>
  <c r="G117" i="27"/>
  <c r="H64" i="27"/>
  <c r="G49" i="27"/>
  <c r="G56" i="27" s="1"/>
  <c r="G42" i="27"/>
  <c r="G41" i="27"/>
  <c r="H26" i="27"/>
  <c r="H29" i="27" l="1"/>
  <c r="H28" i="27"/>
  <c r="H54" i="28"/>
  <c r="H51" i="28"/>
  <c r="H49" i="28"/>
  <c r="H47" i="28"/>
  <c r="H141" i="28"/>
  <c r="H68" i="28"/>
  <c r="H55" i="28"/>
  <c r="F76" i="28" s="1"/>
  <c r="H79" i="28" s="1"/>
  <c r="H52" i="28"/>
  <c r="H48" i="28"/>
  <c r="H53" i="28"/>
  <c r="G43" i="27"/>
  <c r="H56" i="28" l="1"/>
  <c r="F77" i="28"/>
  <c r="H78" i="28" s="1"/>
  <c r="H32" i="27"/>
  <c r="H69" i="28" l="1"/>
  <c r="H71" i="28" s="1"/>
  <c r="H80" i="28"/>
  <c r="H81" i="28" s="1"/>
  <c r="H42" i="27"/>
  <c r="H127" i="27"/>
  <c r="H41" i="27"/>
  <c r="H129" i="28" l="1"/>
  <c r="H128" i="28"/>
  <c r="F89" i="28"/>
  <c r="H94" i="28"/>
  <c r="H95" i="28" s="1"/>
  <c r="H100" i="28" s="1"/>
  <c r="H43" i="27"/>
  <c r="H88" i="28" l="1"/>
  <c r="H87" i="28"/>
  <c r="H141" i="27"/>
  <c r="H47" i="27"/>
  <c r="H53" i="27"/>
  <c r="H49" i="27"/>
  <c r="H54" i="27"/>
  <c r="H51" i="27"/>
  <c r="H68" i="27"/>
  <c r="H48" i="27"/>
  <c r="H55" i="27"/>
  <c r="F76" i="27" s="1"/>
  <c r="H79" i="27" s="1"/>
  <c r="H52" i="27"/>
  <c r="H90" i="28" l="1"/>
  <c r="H99" i="28" s="1"/>
  <c r="H101" i="28" s="1"/>
  <c r="H130" i="28" s="1"/>
  <c r="F77" i="27"/>
  <c r="H78" i="27" s="1"/>
  <c r="H56" i="27"/>
  <c r="H80" i="27" s="1"/>
  <c r="H140" i="28" l="1"/>
  <c r="H142" i="28" s="1"/>
  <c r="H143" i="28" s="1"/>
  <c r="H81" i="27"/>
  <c r="H69" i="27"/>
  <c r="G31" i="23"/>
  <c r="H31" i="23" s="1"/>
  <c r="H144" i="28" l="1"/>
  <c r="H145" i="28" s="1"/>
  <c r="G5" i="23"/>
  <c r="G11" i="23" s="1"/>
  <c r="H106" i="27" s="1"/>
  <c r="A6" i="23"/>
  <c r="A7" i="23" s="1"/>
  <c r="A8" i="23" s="1"/>
  <c r="A9" i="23" s="1"/>
  <c r="A10" i="23" s="1"/>
  <c r="H32" i="23" l="1"/>
  <c r="H108" i="28" s="1"/>
  <c r="H110" i="28" s="1"/>
  <c r="H131" i="28" s="1"/>
  <c r="H132" i="28" s="1"/>
  <c r="H115" i="28" l="1"/>
  <c r="H116" i="28" s="1"/>
  <c r="H108" i="27"/>
  <c r="H110" i="27" s="1"/>
  <c r="H131" i="27" s="1"/>
  <c r="H117" i="28" l="1"/>
  <c r="H70" i="27"/>
  <c r="H71" i="27" s="1"/>
  <c r="H119" i="28" l="1"/>
  <c r="H120" i="28"/>
  <c r="H118" i="28"/>
  <c r="H128" i="27"/>
  <c r="H121" i="28" l="1"/>
  <c r="H133" i="28" s="1"/>
  <c r="H134" i="28" s="1"/>
  <c r="E10" i="7" s="1"/>
  <c r="H129" i="27"/>
  <c r="F89" i="27"/>
  <c r="H88" i="27" s="1"/>
  <c r="H94" i="27"/>
  <c r="H95" i="27" s="1"/>
  <c r="H100" i="27" s="1"/>
  <c r="H139" i="28" l="1"/>
  <c r="H146" i="28" s="1"/>
  <c r="H87" i="27"/>
  <c r="H90" i="27" s="1"/>
  <c r="H99" i="27" s="1"/>
  <c r="H101" i="27" s="1"/>
  <c r="H130" i="27" s="1"/>
  <c r="H132" i="27" s="1"/>
  <c r="H140" i="27" l="1"/>
  <c r="H142" i="27" s="1"/>
  <c r="H143" i="27" s="1"/>
  <c r="H115" i="27"/>
  <c r="H116" i="27" s="1"/>
  <c r="H117" i="27" s="1"/>
  <c r="H119" i="27" l="1"/>
  <c r="H120" i="27"/>
  <c r="H118" i="27"/>
  <c r="H144" i="27"/>
  <c r="H145" i="27" s="1"/>
  <c r="H121" i="27" l="1"/>
  <c r="H133" i="27" s="1"/>
  <c r="H134" i="27" s="1"/>
  <c r="E9" i="7" s="1"/>
  <c r="H139" i="27" l="1"/>
  <c r="H146" i="27" s="1"/>
  <c r="F9" i="7"/>
  <c r="F10" i="7"/>
  <c r="G9" i="7" l="1"/>
  <c r="F11" i="7"/>
  <c r="G10" i="7"/>
  <c r="G11" i="7" l="1"/>
  <c r="G1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michelly</author>
    <author>Michelly de Souza Ferraz</author>
    <author>Felipe Mazza Mascarenhas</author>
    <author>Wellington Couto De Almeida</author>
  </authors>
  <commentList>
    <comment ref="B23" authorId="0" shapeId="0" xr:uid="{00000000-0006-0000-0100-000001000000}">
      <text>
        <r>
          <rPr>
            <sz val="9"/>
            <color indexed="81"/>
            <rFont val="Segoe UI"/>
            <family val="2"/>
          </rPr>
          <t xml:space="preserve">Nota 1: O Módulo 1 refere-se ao valor mensal devido ao empregado pela prestação do serviço no período de 12 meses.
</t>
        </r>
      </text>
    </comment>
    <comment ref="H25" authorId="1" shapeId="0" xr:uid="{228B2ABD-718F-4E3D-9B20-C39BDF1EBBBF}">
      <text>
        <r>
          <rPr>
            <sz val="9"/>
            <color indexed="81"/>
            <rFont val="Segoe UI"/>
            <charset val="1"/>
          </rPr>
          <t>Na execução do contrato esse valor será zerado quando do pagamento das férias do titular.</t>
        </r>
      </text>
    </comment>
    <comment ref="D27" authorId="0" shapeId="0" xr:uid="{00000000-0006-0000-0100-000002000000}">
      <text>
        <r>
          <rPr>
            <sz val="9"/>
            <color indexed="81"/>
            <rFont val="Segoe UI"/>
            <family val="2"/>
          </rPr>
          <t>Grau mínimo 10%, grau médio 20% e grau máximo 40%.</t>
        </r>
      </text>
    </comment>
    <comment ref="D30" authorId="0" shapeId="0" xr:uid="{00000000-0006-0000-0100-000003000000}">
      <text>
        <r>
          <rPr>
            <sz val="9"/>
            <color indexed="81"/>
            <rFont val="Segoe UI"/>
            <family val="2"/>
          </rPr>
          <t>Considerando 220h mensais</t>
        </r>
        <r>
          <rPr>
            <b/>
            <sz val="9"/>
            <color indexed="81"/>
            <rFont val="Segoe UI"/>
            <family val="2"/>
          </rPr>
          <t>.</t>
        </r>
      </text>
    </comment>
    <comment ref="B39" authorId="0" shapeId="0" xr:uid="{00000000-0006-0000-0100-000004000000}">
      <text>
        <r>
          <rPr>
            <sz val="9"/>
            <color indexed="81"/>
            <rFont val="Segoe UI"/>
            <family val="2"/>
          </rPr>
          <t>Nota 1: Como a planilha de custos e formação de preços é calculada mensalmente, provisiona-se proporcionalmente 1/12 (um doze avos) dos valores referentes a gratificação natalina e adicional de férias.
Nota 2: O adicional de férias contido no Submódulo 2.1 corresponde a 1/3 (um terço) da remuneração que por sua vez é divido por 12 (doze) conforme Nota 1 acima.</t>
        </r>
      </text>
    </comment>
    <comment ref="G41" authorId="2" shapeId="0" xr:uid="{00000000-0006-0000-0100-000005000000}">
      <text>
        <r>
          <rPr>
            <sz val="9"/>
            <color indexed="81"/>
            <rFont val="Segoe UI"/>
            <family val="2"/>
          </rPr>
          <t>Tot.1 ÷ 12 meses</t>
        </r>
      </text>
    </comment>
    <comment ref="G42" authorId="2" shapeId="0" xr:uid="{00000000-0006-0000-0100-000006000000}">
      <text>
        <r>
          <rPr>
            <sz val="9"/>
            <color indexed="81"/>
            <rFont val="Segoe UI"/>
            <family val="2"/>
          </rPr>
          <t>(Tot.1 ÷ 12 meses) + [(Tot.1 ÷ 3) ÷ 12 meses]</t>
        </r>
      </text>
    </comment>
    <comment ref="B45" authorId="0" shapeId="0" xr:uid="{00000000-0006-0000-0100-000007000000}">
      <text>
        <r>
          <rPr>
            <sz val="9"/>
            <color indexed="81"/>
            <rFont val="Segoe UI"/>
            <family val="2"/>
          </rPr>
          <t xml:space="preserve">Nota 1: Os percentuais dos encargos previdenciários, do FGTS e demais contribuições são aqueles estabelecidos pela legislação vigente.
Nota 2: O SAT a depender do grau de risco do serviço irá variar entre 1%, para risco leve, de 2%, para risco médio, e de 3% de risco grave.
Nota 3: Esses percentuais incidem sobre o Módulo 1 e o Submódulo 2.1.
</t>
        </r>
      </text>
    </comment>
    <comment ref="G47" authorId="0" shapeId="0" xr:uid="{00000000-0006-0000-0100-000008000000}">
      <text>
        <r>
          <rPr>
            <sz val="9"/>
            <color indexed="81"/>
            <rFont val="Segoe UI"/>
            <family val="2"/>
          </rPr>
          <t>Percentual fixo:
Lei 8.212/91, Art. 22, I</t>
        </r>
      </text>
    </comment>
    <comment ref="G48" authorId="0" shapeId="0" xr:uid="{00000000-0006-0000-0100-000009000000}">
      <text>
        <r>
          <rPr>
            <sz val="9"/>
            <color indexed="81"/>
            <rFont val="Segoe UI"/>
            <family val="2"/>
          </rPr>
          <t>Percentual fixo:
- C.F./88, Art. 212, §5º
- Decreto 6.003/2006, Art. 1º, §1º</t>
        </r>
      </text>
    </comment>
    <comment ref="E49" authorId="0" shapeId="0" xr:uid="{00000000-0006-0000-0100-00000A000000}">
      <text>
        <r>
          <rPr>
            <sz val="9"/>
            <color indexed="81"/>
            <rFont val="Segoe UI"/>
            <family val="2"/>
          </rPr>
          <t>Riscos Ambientais do Trabalho:
1%, 2% ou 3%
Lei 8.212/91, Art. 22, II</t>
        </r>
      </text>
    </comment>
    <comment ref="F49" authorId="0" shapeId="0" xr:uid="{00000000-0006-0000-0100-00000B000000}">
      <text>
        <r>
          <rPr>
            <sz val="9"/>
            <color indexed="81"/>
            <rFont val="Segoe UI"/>
            <family val="2"/>
          </rPr>
          <t>Fator Acidentário de Prevenção:
0,50 a 2
Decreto 6.957/09, Art. 1º, §1º</t>
        </r>
      </text>
    </comment>
    <comment ref="G51" authorId="0" shapeId="0" xr:uid="{00000000-0006-0000-0100-00000C000000}">
      <text>
        <r>
          <rPr>
            <sz val="9"/>
            <color indexed="81"/>
            <rFont val="Segoe UI"/>
            <family val="2"/>
          </rPr>
          <t>Percentual fixo:
- Lei 8.036/90, Art. 30</t>
        </r>
      </text>
    </comment>
    <comment ref="G52" authorId="0" shapeId="0" xr:uid="{00000000-0006-0000-0100-00000D000000}">
      <text>
        <r>
          <rPr>
            <sz val="9"/>
            <color indexed="81"/>
            <rFont val="Segoe UI"/>
            <family val="2"/>
          </rPr>
          <t>Percentual fixo:
- Decreto-Lei 6.246/44, Art. 1º
- Decreto-Lei 8.621/46, Art. 4º</t>
        </r>
      </text>
    </comment>
    <comment ref="G53" authorId="0" shapeId="0" xr:uid="{00000000-0006-0000-0100-00000E000000}">
      <text>
        <r>
          <rPr>
            <sz val="9"/>
            <color indexed="81"/>
            <rFont val="Segoe UI"/>
            <family val="2"/>
          </rPr>
          <t>Percentual fixo:
- Lei 8.029/90, alterada pela Lei 8.154/90</t>
        </r>
      </text>
    </comment>
    <comment ref="G54" authorId="0" shapeId="0" xr:uid="{00000000-0006-0000-0100-00000F000000}">
      <text>
        <r>
          <rPr>
            <sz val="9"/>
            <color indexed="81"/>
            <rFont val="Segoe UI"/>
            <family val="2"/>
          </rPr>
          <t>Percentual fixo:
- Decreto-Lei 1.146/70, Art. 1º, inciso I</t>
        </r>
      </text>
    </comment>
    <comment ref="G55" authorId="0" shapeId="0" xr:uid="{00000000-0006-0000-0100-000010000000}">
      <text>
        <r>
          <rPr>
            <sz val="9"/>
            <color indexed="81"/>
            <rFont val="Segoe UI"/>
            <family val="2"/>
          </rPr>
          <t>Percentual fixo:
- Lei 8.036/90, Art. 15</t>
        </r>
      </text>
    </comment>
    <comment ref="B58" authorId="0" shapeId="0" xr:uid="{00000000-0006-0000-0100-000011000000}">
      <text>
        <r>
          <rPr>
            <sz val="9"/>
            <color indexed="81"/>
            <rFont val="Segoe UI"/>
            <family val="2"/>
          </rPr>
          <t>Nota 1: O valor informado deverá ser o custo real do benefício (descontado o valor eventualmente pago pelo empregado).
Nota 2: Observar a previsão dos benefícios contidos em Acordos, Convenções e Dissídios Coletivos de Trabalho e atentar-se ao disposto no art. 6º da IN 05, de 25/05/2017.</t>
        </r>
      </text>
    </comment>
    <comment ref="C59" authorId="2" shapeId="0" xr:uid="{00000000-0006-0000-0100-000012000000}">
      <text>
        <r>
          <rPr>
            <sz val="9"/>
            <color indexed="81"/>
            <rFont val="Segoe UI"/>
            <family val="2"/>
          </rPr>
          <t>*Considerada média de 22 dias úteis mensais</t>
        </r>
      </text>
    </comment>
    <comment ref="F76" authorId="3" shapeId="0" xr:uid="{8E0F56D8-83EA-4C2F-9184-BA7B9EB4905D}">
      <text>
        <r>
          <rPr>
            <b/>
            <sz val="9"/>
            <color indexed="81"/>
            <rFont val="Segoe UI"/>
            <charset val="1"/>
          </rPr>
          <t>Wellington Couto De Almeida:</t>
        </r>
        <r>
          <rPr>
            <sz val="9"/>
            <color indexed="81"/>
            <rFont val="Segoe UI"/>
            <charset val="1"/>
          </rPr>
          <t xml:space="preserve">
Valor fixo. 40% do FGTS. Usado como base de cálculo para API e APT.</t>
        </r>
      </text>
    </comment>
    <comment ref="C77" authorId="2" shapeId="0" xr:uid="{0A123C7F-A5CC-4D2C-86FF-0D0311EDD3E3}">
      <text>
        <r>
          <rPr>
            <sz val="9"/>
            <color indexed="81"/>
            <rFont val="Segoe UI"/>
            <family val="2"/>
          </rPr>
          <t>O pagamento relativo à rubrica de benefícios dependerá de como a Convenção Coletiva de Trabalho aborda o assunto. Se pagamento por dia trabalhado, não deve constar esses valores na memória de cálculo.
(Remuneração +13º salário + Férias e Adicional de férias + FGTS + Benefícios - Vale Transporte) ÷ 12 meses</t>
        </r>
      </text>
    </comment>
    <comment ref="F77" authorId="3" shapeId="0" xr:uid="{21926E19-F4C1-4EF5-B676-A3FA7D3A1879}">
      <text>
        <r>
          <rPr>
            <b/>
            <sz val="9"/>
            <color indexed="81"/>
            <rFont val="Segoe UI"/>
            <family val="2"/>
          </rPr>
          <t>Wellington Couto De Almeida:</t>
        </r>
        <r>
          <rPr>
            <sz val="9"/>
            <color indexed="81"/>
            <rFont val="Segoe UI"/>
            <family val="2"/>
          </rPr>
          <t xml:space="preserve">
Base de cálculo para API.</t>
        </r>
      </text>
    </comment>
    <comment ref="G79" authorId="1" shapeId="0" xr:uid="{F88EAAA9-4D16-4622-B9D5-E36670899261}">
      <text>
        <r>
          <rPr>
            <sz val="9"/>
            <color indexed="81"/>
            <rFont val="Segoe UI"/>
            <charset val="1"/>
          </rPr>
          <t xml:space="preserve">A fórmula não deve ser alterada, de modo que o somatório do percentual do API e do APT totalize 100%.
</t>
        </r>
      </text>
    </comment>
    <comment ref="C80" authorId="2" shapeId="0" xr:uid="{441BF731-FB0A-4819-9811-DE99E12AE2B2}">
      <text>
        <r>
          <rPr>
            <sz val="9"/>
            <color indexed="81"/>
            <rFont val="Segoe UI"/>
            <family val="2"/>
          </rPr>
          <t>(Remuneração +13º salário + Férias e Adicional de férias + FGTS + Benefícios) ÷ 12 meses</t>
        </r>
      </text>
    </comment>
    <comment ref="F80" authorId="2" shapeId="0" xr:uid="{CD1A186A-6E2F-487D-A38C-3884272C6B1E}">
      <text>
        <r>
          <rPr>
            <sz val="9"/>
            <color indexed="81"/>
            <rFont val="Segoe UI"/>
            <family val="2"/>
          </rPr>
          <t>Valor fixo</t>
        </r>
      </text>
    </comment>
    <comment ref="G80" authorId="2" shapeId="0" xr:uid="{AF272BA7-18C6-4D49-9FE8-2423BF31FBE6}">
      <text>
        <r>
          <rPr>
            <sz val="9"/>
            <color indexed="81"/>
            <rFont val="Segoe UI"/>
            <family val="2"/>
          </rPr>
          <t>Lei nº 12.506, de 2011.
“Art. 1º O aviso prévio, de que trata o Capítulo VI do Título IV da Consolidação das Leis do Trabalho - CLT, aprovada pelo Decreto-Lei nº 5.452, de 1º de maio de 1943, será concedido na proporção de 30 (trinta) dias aos empregados que contem até 1 (um) ano de serviço na mesma empresa.
Parágrafo único. Ao aviso prévio previsto neste artigo serão acrescidos 3 (três) dias por ano de serviço prestado na mesma empresa, até o máximo de 60 (sessenta) dias, perfazendo um total de até 90 (noventa) dias.”</t>
        </r>
      </text>
    </comment>
    <comment ref="B84" authorId="0" shapeId="0" xr:uid="{00000000-0006-0000-0100-00001A000000}">
      <text>
        <r>
          <rPr>
            <sz val="9"/>
            <color indexed="81"/>
            <rFont val="Segoe UI"/>
            <family val="2"/>
          </rPr>
          <t>Nota 1: Os itens que contemplam o módulo 4 se referem ao custo dos dias trabalhados pelo repositor/substituto, quando o empregado alocado na prestação de serviço estiver ausente, conforme as previsões estabelecidas na legislação.</t>
        </r>
      </text>
    </comment>
    <comment ref="G86" authorId="0" shapeId="0" xr:uid="{00000000-0006-0000-0100-00001B000000}">
      <text>
        <r>
          <rPr>
            <sz val="9"/>
            <color indexed="81"/>
            <rFont val="Segoe UI"/>
            <family val="2"/>
          </rPr>
          <t xml:space="preserve">Estimativa de dias:
Férias – 30 dias/ano
Ausências Legais – 2,96 faltas/ano
Licença Paternidade – 0,075 (5 dias/ano * 1,5% incidência)
Ausência por Acidente de Trabalho – 1,2 (15 dia/ano * 8% incidência)
Afastamento Maternidade – 2,4 (4 meses/ano * 2% incidência)
Outras Ausências - 1 falta/ano
Total de 38 dias (aproximadamente) de ausência ao ano.
</t>
        </r>
      </text>
    </comment>
    <comment ref="G87" authorId="2" shapeId="0" xr:uid="{00000000-0006-0000-0100-00001C000000}">
      <text>
        <r>
          <rPr>
            <sz val="9"/>
            <color indexed="81"/>
            <rFont val="Segoe UI"/>
            <family val="2"/>
          </rPr>
          <t xml:space="preserve">Quantidade </t>
        </r>
        <r>
          <rPr>
            <b/>
            <sz val="9"/>
            <color indexed="81"/>
            <rFont val="Segoe UI"/>
            <family val="2"/>
          </rPr>
          <t>fixa</t>
        </r>
        <r>
          <rPr>
            <sz val="9"/>
            <color indexed="81"/>
            <rFont val="Segoe UI"/>
            <family val="2"/>
          </rPr>
          <t xml:space="preserve"> de dias = 30</t>
        </r>
      </text>
    </comment>
    <comment ref="G88" authorId="0" shapeId="0" xr:uid="{00000000-0006-0000-0100-00001D000000}">
      <text>
        <r>
          <rPr>
            <sz val="9"/>
            <color indexed="81"/>
            <rFont val="Segoe UI"/>
            <family val="2"/>
          </rPr>
          <t>Necessidade da empresa, de acordo com as probabilidades consignadas em sua proposta, de um repositor durante o ano (em dias).</t>
        </r>
      </text>
    </comment>
    <comment ref="C89" authorId="2" shapeId="0" xr:uid="{00000000-0006-0000-0100-00001E000000}">
      <text>
        <r>
          <rPr>
            <sz val="9"/>
            <color indexed="81"/>
            <rFont val="Segoe UI"/>
            <family val="2"/>
          </rPr>
          <t>(Módulo 1 + Módulo 2 + Módulo 3) ÷ 30 dias</t>
        </r>
      </text>
    </comment>
    <comment ref="G93" authorId="0" shapeId="0" xr:uid="{00000000-0006-0000-0100-00001F000000}">
      <text>
        <r>
          <rPr>
            <sz val="9"/>
            <color indexed="81"/>
            <rFont val="Segoe UI"/>
            <family val="2"/>
          </rPr>
          <t xml:space="preserve">Dias necessários para substituição.
</t>
        </r>
      </text>
    </comment>
    <comment ref="B104" authorId="0" shapeId="0" xr:uid="{00000000-0006-0000-0100-000020000000}">
      <text>
        <r>
          <rPr>
            <sz val="9"/>
            <color indexed="81"/>
            <rFont val="Segoe UI"/>
            <family val="2"/>
          </rPr>
          <t>Nota: Valores mensais por posto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michelly</author>
    <author>Michelly de Souza Ferraz</author>
    <author>Felipe Mazza Mascarenhas</author>
    <author>Wellington Couto De Almeida</author>
  </authors>
  <commentList>
    <comment ref="B23" authorId="0" shapeId="0" xr:uid="{D5276058-CAAC-4934-8202-3E1C1CC20557}">
      <text>
        <r>
          <rPr>
            <sz val="9"/>
            <color indexed="81"/>
            <rFont val="Segoe UI"/>
            <family val="2"/>
          </rPr>
          <t xml:space="preserve">Nota 1: O Módulo 1 refere-se ao valor mensal devido ao empregado pela prestação do serviço no período de 12 meses.
</t>
        </r>
      </text>
    </comment>
    <comment ref="H25" authorId="1" shapeId="0" xr:uid="{6100A79B-0E72-4327-B317-D2B155DEB71B}">
      <text>
        <r>
          <rPr>
            <sz val="9"/>
            <color indexed="81"/>
            <rFont val="Segoe UI"/>
            <charset val="1"/>
          </rPr>
          <t>Na execução do contrato esse valor será zerado quando do pagamento das férias do titular.</t>
        </r>
      </text>
    </comment>
    <comment ref="D27" authorId="0" shapeId="0" xr:uid="{1B9F1143-4223-495E-839F-A7F8F7A826E9}">
      <text>
        <r>
          <rPr>
            <sz val="9"/>
            <color indexed="81"/>
            <rFont val="Segoe UI"/>
            <family val="2"/>
          </rPr>
          <t>Grau mínimo 10%, grau médio 20% e grau máximo 40%.</t>
        </r>
      </text>
    </comment>
    <comment ref="D30" authorId="0" shapeId="0" xr:uid="{3C65229F-AB73-4AC5-B999-7BA64539EAD5}">
      <text>
        <r>
          <rPr>
            <sz val="9"/>
            <color indexed="81"/>
            <rFont val="Segoe UI"/>
            <family val="2"/>
          </rPr>
          <t>Considerando 220h mensais</t>
        </r>
        <r>
          <rPr>
            <b/>
            <sz val="9"/>
            <color indexed="81"/>
            <rFont val="Segoe UI"/>
            <family val="2"/>
          </rPr>
          <t>.</t>
        </r>
      </text>
    </comment>
    <comment ref="B39" authorId="0" shapeId="0" xr:uid="{07497FC5-6F5E-4634-9F59-652D92C3891C}">
      <text>
        <r>
          <rPr>
            <sz val="9"/>
            <color indexed="81"/>
            <rFont val="Segoe UI"/>
            <family val="2"/>
          </rPr>
          <t>Nota 1: Como a planilha de custos e formação de preços é calculada mensalmente, provisiona-se proporcionalmente 1/12 (um doze avos) dos valores referentes a gratificação natalina e adicional de férias.
Nota 2: O adicional de férias contido no Submódulo 2.1 corresponde a 1/3 (um terço) da remuneração que por sua vez é divido por 12 (doze) conforme Nota 1 acima.</t>
        </r>
      </text>
    </comment>
    <comment ref="G41" authorId="2" shapeId="0" xr:uid="{D4452BE0-6489-4C82-821B-08CB5C937949}">
      <text>
        <r>
          <rPr>
            <sz val="9"/>
            <color indexed="81"/>
            <rFont val="Segoe UI"/>
            <family val="2"/>
          </rPr>
          <t>Tot.1 ÷ 12 meses</t>
        </r>
      </text>
    </comment>
    <comment ref="G42" authorId="2" shapeId="0" xr:uid="{5D021326-EAC4-413A-9558-D5AE4D770BBF}">
      <text>
        <r>
          <rPr>
            <sz val="9"/>
            <color indexed="81"/>
            <rFont val="Segoe UI"/>
            <family val="2"/>
          </rPr>
          <t>(Tot.1 ÷ 12 meses) + [(Tot.1 ÷ 3) ÷ 12 meses]</t>
        </r>
      </text>
    </comment>
    <comment ref="B45" authorId="0" shapeId="0" xr:uid="{C4E858FE-744B-4AEA-A953-A2799B320F09}">
      <text>
        <r>
          <rPr>
            <sz val="9"/>
            <color indexed="81"/>
            <rFont val="Segoe UI"/>
            <family val="2"/>
          </rPr>
          <t xml:space="preserve">Nota 1: Os percentuais dos encargos previdenciários, do FGTS e demais contribuições são aqueles estabelecidos pela legislação vigente.
Nota 2: O SAT a depender do grau de risco do serviço irá variar entre 1%, para risco leve, de 2%, para risco médio, e de 3% de risco grave.
Nota 3: Esses percentuais incidem sobre o Módulo 1 e o Submódulo 2.1.
</t>
        </r>
      </text>
    </comment>
    <comment ref="G47" authorId="0" shapeId="0" xr:uid="{86F9ABA0-6CF6-4FFC-8378-146E5DA49751}">
      <text>
        <r>
          <rPr>
            <sz val="9"/>
            <color indexed="81"/>
            <rFont val="Segoe UI"/>
            <family val="2"/>
          </rPr>
          <t>Percentual fixo:
Lei 8.212/91, Art. 22, I</t>
        </r>
      </text>
    </comment>
    <comment ref="G48" authorId="0" shapeId="0" xr:uid="{DBC8FAD8-24BE-4560-9CFB-599C5C07A463}">
      <text>
        <r>
          <rPr>
            <sz val="9"/>
            <color indexed="81"/>
            <rFont val="Segoe UI"/>
            <family val="2"/>
          </rPr>
          <t>Percentual fixo:
- C.F./88, Art. 212, §5º
- Decreto 6.003/2006, Art. 1º, §1º</t>
        </r>
      </text>
    </comment>
    <comment ref="E49" authorId="0" shapeId="0" xr:uid="{CE33085A-3321-422C-8D4F-4797CC18F89C}">
      <text>
        <r>
          <rPr>
            <sz val="9"/>
            <color indexed="81"/>
            <rFont val="Segoe UI"/>
            <family val="2"/>
          </rPr>
          <t>Riscos Ambientais do Trabalho:
1%, 2% ou 3%
Lei 8.212/91, Art. 22, II</t>
        </r>
      </text>
    </comment>
    <comment ref="F49" authorId="0" shapeId="0" xr:uid="{2A1AB2FA-E8D3-4B9D-A5F1-989B46F3DB17}">
      <text>
        <r>
          <rPr>
            <sz val="9"/>
            <color indexed="81"/>
            <rFont val="Segoe UI"/>
            <family val="2"/>
          </rPr>
          <t>Fator Acidentário de Prevenção:
0,50 a 2
Decreto 6.957/09, Art. 1º, §1º</t>
        </r>
      </text>
    </comment>
    <comment ref="G51" authorId="0" shapeId="0" xr:uid="{4EFB4EA5-5476-46C9-B422-9D4F3F3B4A5A}">
      <text>
        <r>
          <rPr>
            <sz val="9"/>
            <color indexed="81"/>
            <rFont val="Segoe UI"/>
            <family val="2"/>
          </rPr>
          <t>Percentual fixo:
- Lei 8.036/90, Art. 30</t>
        </r>
      </text>
    </comment>
    <comment ref="G52" authorId="0" shapeId="0" xr:uid="{1A067EF3-2011-4088-92C0-023A5406D636}">
      <text>
        <r>
          <rPr>
            <sz val="9"/>
            <color indexed="81"/>
            <rFont val="Segoe UI"/>
            <family val="2"/>
          </rPr>
          <t>Percentual fixo:
- Decreto-Lei 6.246/44, Art. 1º
- Decreto-Lei 8.621/46, Art. 4º</t>
        </r>
      </text>
    </comment>
    <comment ref="G53" authorId="0" shapeId="0" xr:uid="{7C1A4B59-1900-4C1B-B69E-F110D2430FED}">
      <text>
        <r>
          <rPr>
            <sz val="9"/>
            <color indexed="81"/>
            <rFont val="Segoe UI"/>
            <family val="2"/>
          </rPr>
          <t>Percentual fixo:
- Lei 8.029/90, alterada pela Lei 8.154/90</t>
        </r>
      </text>
    </comment>
    <comment ref="G54" authorId="0" shapeId="0" xr:uid="{146F66D3-2C68-49A5-A2CE-4C6E43A168BB}">
      <text>
        <r>
          <rPr>
            <sz val="9"/>
            <color indexed="81"/>
            <rFont val="Segoe UI"/>
            <family val="2"/>
          </rPr>
          <t>Percentual fixo:
- Decreto-Lei 1.146/70, Art. 1º, inciso I</t>
        </r>
      </text>
    </comment>
    <comment ref="G55" authorId="0" shapeId="0" xr:uid="{8B433452-4462-4B38-996C-91360BA08841}">
      <text>
        <r>
          <rPr>
            <sz val="9"/>
            <color indexed="81"/>
            <rFont val="Segoe UI"/>
            <family val="2"/>
          </rPr>
          <t>Percentual fixo:
- Lei 8.036/90, Art. 15</t>
        </r>
      </text>
    </comment>
    <comment ref="B58" authorId="0" shapeId="0" xr:uid="{ACF99CBE-460E-4022-9EE2-DDAE3B765388}">
      <text>
        <r>
          <rPr>
            <sz val="9"/>
            <color indexed="81"/>
            <rFont val="Segoe UI"/>
            <family val="2"/>
          </rPr>
          <t>Nota 1: O valor informado deverá ser o custo real do benefício (descontado o valor eventualmente pago pelo empregado).
Nota 2: Observar a previsão dos benefícios contidos em Acordos, Convenções e Dissídios Coletivos de Trabalho e atentar-se ao disposto no art. 6º da IN 05, de 25/05/2017.</t>
        </r>
      </text>
    </comment>
    <comment ref="C59" authorId="2" shapeId="0" xr:uid="{4256DD84-49DB-4CD9-84F5-5DD6B3E05E2D}">
      <text>
        <r>
          <rPr>
            <sz val="9"/>
            <color indexed="81"/>
            <rFont val="Segoe UI"/>
            <family val="2"/>
          </rPr>
          <t>*Considerada média de 22 dias úteis mensais</t>
        </r>
      </text>
    </comment>
    <comment ref="F76" authorId="3" shapeId="0" xr:uid="{1BC68F4C-5DBA-4E42-B2AD-5F164BA57456}">
      <text>
        <r>
          <rPr>
            <b/>
            <sz val="9"/>
            <color indexed="81"/>
            <rFont val="Segoe UI"/>
            <charset val="1"/>
          </rPr>
          <t>Wellington Couto De Almeida:</t>
        </r>
        <r>
          <rPr>
            <sz val="9"/>
            <color indexed="81"/>
            <rFont val="Segoe UI"/>
            <charset val="1"/>
          </rPr>
          <t xml:space="preserve">
Valor fixo. 40% do FGTS. Usado como base de cálculo para API e APT.</t>
        </r>
      </text>
    </comment>
    <comment ref="C77" authorId="2" shapeId="0" xr:uid="{62DFD6B0-8618-45B1-897E-7551DDE27B87}">
      <text>
        <r>
          <rPr>
            <sz val="9"/>
            <color indexed="81"/>
            <rFont val="Segoe UI"/>
            <family val="2"/>
          </rPr>
          <t>O pagamento relativo à rubrica de benefícios dependerá de como a Convenção Coletiva de Trabalho aborda o assunto. Se pagamento por dia trabalhado, não deve constar esses valores na memória de cálculo.
(Remuneração +13º salário + Férias e Adicional de férias + FGTS + Benefícios - Vale Transporte) ÷ 12 meses</t>
        </r>
      </text>
    </comment>
    <comment ref="F77" authorId="3" shapeId="0" xr:uid="{D3637DA0-BE1D-49A4-93C4-70C6F03824EB}">
      <text>
        <r>
          <rPr>
            <b/>
            <sz val="9"/>
            <color indexed="81"/>
            <rFont val="Segoe UI"/>
            <family val="2"/>
          </rPr>
          <t>Wellington Couto De Almeida:</t>
        </r>
        <r>
          <rPr>
            <sz val="9"/>
            <color indexed="81"/>
            <rFont val="Segoe UI"/>
            <family val="2"/>
          </rPr>
          <t xml:space="preserve">
Base de cálculo para API.</t>
        </r>
      </text>
    </comment>
    <comment ref="G79" authorId="1" shapeId="0" xr:uid="{4D5F1E64-AEA4-4EA1-9BBA-1B9A179E6E5D}">
      <text>
        <r>
          <rPr>
            <sz val="9"/>
            <color indexed="81"/>
            <rFont val="Segoe UI"/>
            <charset val="1"/>
          </rPr>
          <t xml:space="preserve">A fórmula não deve ser alterada, de modo que o somatório do percentual do API e do APT totalize 100%.
</t>
        </r>
      </text>
    </comment>
    <comment ref="C80" authorId="2" shapeId="0" xr:uid="{7EA040E6-6EC1-461E-A930-0B8D2D1CC190}">
      <text>
        <r>
          <rPr>
            <sz val="9"/>
            <color indexed="81"/>
            <rFont val="Segoe UI"/>
            <family val="2"/>
          </rPr>
          <t>(Remuneração +13º salário + Férias e Adicional de férias + FGTS + Benefícios) ÷ 12 meses</t>
        </r>
      </text>
    </comment>
    <comment ref="F80" authorId="2" shapeId="0" xr:uid="{005C4A51-DBC6-4EA7-9AB3-F2F748D5BFF5}">
      <text>
        <r>
          <rPr>
            <sz val="9"/>
            <color indexed="81"/>
            <rFont val="Segoe UI"/>
            <family val="2"/>
          </rPr>
          <t>Valor fixo</t>
        </r>
      </text>
    </comment>
    <comment ref="G80" authorId="2" shapeId="0" xr:uid="{97D326F0-42B9-413A-A4C6-41322F92C7DB}">
      <text>
        <r>
          <rPr>
            <sz val="9"/>
            <color indexed="81"/>
            <rFont val="Segoe UI"/>
            <family val="2"/>
          </rPr>
          <t>Lei nº 12.506, de 2011.
“Art. 1º O aviso prévio, de que trata o Capítulo VI do Título IV da Consolidação das Leis do Trabalho - CLT, aprovada pelo Decreto-Lei nº 5.452, de 1º de maio de 1943, será concedido na proporção de 30 (trinta) dias aos empregados que contem até 1 (um) ano de serviço na mesma empresa.
Parágrafo único. Ao aviso prévio previsto neste artigo serão acrescidos 3 (três) dias por ano de serviço prestado na mesma empresa, até o máximo de 60 (sessenta) dias, perfazendo um total de até 90 (noventa) dias.”</t>
        </r>
      </text>
    </comment>
    <comment ref="B84" authorId="0" shapeId="0" xr:uid="{2AD644FF-F196-451E-AA65-34D8056B3AFE}">
      <text>
        <r>
          <rPr>
            <sz val="9"/>
            <color indexed="81"/>
            <rFont val="Segoe UI"/>
            <family val="2"/>
          </rPr>
          <t>Nota 1: Os itens que contemplam o módulo 4 se referem ao custo dos dias trabalhados pelo repositor/substituto, quando o empregado alocado na prestação de serviço estiver ausente, conforme as previsões estabelecidas na legislação.</t>
        </r>
      </text>
    </comment>
    <comment ref="G86" authorId="0" shapeId="0" xr:uid="{B36DCC30-271F-481C-A447-5F961542A359}">
      <text>
        <r>
          <rPr>
            <sz val="9"/>
            <color indexed="81"/>
            <rFont val="Segoe UI"/>
            <family val="2"/>
          </rPr>
          <t xml:space="preserve">Estimativa de dias:
Férias – 30 dias/ano
Ausências Legais – 2,96 faltas/ano
Licença Paternidade – 0,075 (5 dias/ano * 1,5% incidência)
Ausência por Acidente de Trabalho – 1,2 (15 dia/ano * 8% incidência)
Afastamento Maternidade – 2,4 (4 meses/ano * 2% incidência)
Outras Ausências - 1 falta/ano
Total de 38 dias (aproximadamente) de ausência ao ano.
</t>
        </r>
      </text>
    </comment>
    <comment ref="G87" authorId="2" shapeId="0" xr:uid="{B07A1A58-E781-4197-8F35-BA6886D220D1}">
      <text>
        <r>
          <rPr>
            <sz val="9"/>
            <color indexed="81"/>
            <rFont val="Segoe UI"/>
            <family val="2"/>
          </rPr>
          <t xml:space="preserve">Quantidade </t>
        </r>
        <r>
          <rPr>
            <b/>
            <sz val="9"/>
            <color indexed="81"/>
            <rFont val="Segoe UI"/>
            <family val="2"/>
          </rPr>
          <t>fixa</t>
        </r>
        <r>
          <rPr>
            <sz val="9"/>
            <color indexed="81"/>
            <rFont val="Segoe UI"/>
            <family val="2"/>
          </rPr>
          <t xml:space="preserve"> de dias = 30</t>
        </r>
      </text>
    </comment>
    <comment ref="G88" authorId="0" shapeId="0" xr:uid="{F5DEF761-7DF3-40BF-9A91-0053886BC8A0}">
      <text>
        <r>
          <rPr>
            <sz val="9"/>
            <color indexed="81"/>
            <rFont val="Segoe UI"/>
            <family val="2"/>
          </rPr>
          <t>Necessidade da empresa, de acordo com as probabilidades consignadas em sua proposta, de um repositor durante o ano (em dias).</t>
        </r>
      </text>
    </comment>
    <comment ref="C89" authorId="2" shapeId="0" xr:uid="{512DF456-6BB2-465C-9D6A-207601448804}">
      <text>
        <r>
          <rPr>
            <sz val="9"/>
            <color indexed="81"/>
            <rFont val="Segoe UI"/>
            <family val="2"/>
          </rPr>
          <t>(Módulo 1 + Módulo 2 + Módulo 3) ÷ 30 dias</t>
        </r>
      </text>
    </comment>
    <comment ref="G93" authorId="0" shapeId="0" xr:uid="{C22E1323-FAC5-41EC-A986-0A52053E44D2}">
      <text>
        <r>
          <rPr>
            <sz val="9"/>
            <color indexed="81"/>
            <rFont val="Segoe UI"/>
            <family val="2"/>
          </rPr>
          <t xml:space="preserve">Dias necessários para substituição.
</t>
        </r>
      </text>
    </comment>
    <comment ref="B104" authorId="0" shapeId="0" xr:uid="{B6D4CD52-1245-4EF3-9C8E-9F9B854B531B}">
      <text>
        <r>
          <rPr>
            <sz val="9"/>
            <color indexed="81"/>
            <rFont val="Segoe UI"/>
            <family val="2"/>
          </rPr>
          <t>Nota: Valores mensais por posto</t>
        </r>
      </text>
    </comment>
  </commentList>
</comments>
</file>

<file path=xl/sharedStrings.xml><?xml version="1.0" encoding="utf-8"?>
<sst xmlns="http://schemas.openxmlformats.org/spreadsheetml/2006/main" count="608" uniqueCount="227">
  <si>
    <t>Adicional Noturno</t>
  </si>
  <si>
    <t>%</t>
  </si>
  <si>
    <t>Outros (especificar)</t>
  </si>
  <si>
    <t>Lucro</t>
  </si>
  <si>
    <t>A</t>
  </si>
  <si>
    <t>B</t>
  </si>
  <si>
    <t>C</t>
  </si>
  <si>
    <t>D</t>
  </si>
  <si>
    <t>E</t>
  </si>
  <si>
    <t>F</t>
  </si>
  <si>
    <t>G</t>
  </si>
  <si>
    <t>H</t>
  </si>
  <si>
    <t>Materiais</t>
  </si>
  <si>
    <t>Equipamentos</t>
  </si>
  <si>
    <t>4.1</t>
  </si>
  <si>
    <t>4.2</t>
  </si>
  <si>
    <t>Custos Indiretos</t>
  </si>
  <si>
    <t>Salário Base</t>
  </si>
  <si>
    <t>PIS</t>
  </si>
  <si>
    <t>COFINS</t>
  </si>
  <si>
    <t>ISS</t>
  </si>
  <si>
    <t>C.1</t>
  </si>
  <si>
    <t>C.2</t>
  </si>
  <si>
    <t>C.3</t>
  </si>
  <si>
    <t xml:space="preserve">Adicional Periculosidade </t>
  </si>
  <si>
    <t>Adicional Insalubridade</t>
  </si>
  <si>
    <t>Adicional de Hora Noturna Reduzida</t>
  </si>
  <si>
    <t>13º Salário, Férias e Adicional de Férias</t>
  </si>
  <si>
    <t>GPS, FGTS e Outras Contribuições</t>
  </si>
  <si>
    <t>SESC ou SESI</t>
  </si>
  <si>
    <t xml:space="preserve">INSS </t>
  </si>
  <si>
    <t xml:space="preserve">Salário Educação </t>
  </si>
  <si>
    <t xml:space="preserve">SENAI - SENAC </t>
  </si>
  <si>
    <t xml:space="preserve">SEBRAE </t>
  </si>
  <si>
    <t xml:space="preserve">INCRA </t>
  </si>
  <si>
    <t xml:space="preserve">FGTS </t>
  </si>
  <si>
    <t>Submódulo 2.1 - 13º Salário, Férias e Adicional de Férias</t>
  </si>
  <si>
    <t>Submódulo 2.3 - Benefícios Mensais e Diários</t>
  </si>
  <si>
    <t>2.1</t>
  </si>
  <si>
    <t>2.2</t>
  </si>
  <si>
    <t>2.3</t>
  </si>
  <si>
    <t>Benefícios Mensais e Diários</t>
  </si>
  <si>
    <t>Ausências Legais</t>
  </si>
  <si>
    <t>Módulo 4 - Custo de Reposição do Profissional Ausente</t>
  </si>
  <si>
    <t>Intrajornada</t>
  </si>
  <si>
    <t xml:space="preserve">Uniformes </t>
  </si>
  <si>
    <t>Subtotal (A + B + C + D + E)</t>
  </si>
  <si>
    <t>Valor (R$)</t>
  </si>
  <si>
    <t>PLANILHA DE CUSTOS E FORMAÇÃO DE PREÇOS</t>
  </si>
  <si>
    <t xml:space="preserve">Dados para composição dos custos referentes a mão de obra </t>
  </si>
  <si>
    <t xml:space="preserve">Tipo de Serviço (mesmo serviço com características distintas) </t>
  </si>
  <si>
    <t xml:space="preserve">Classificação Brasileira de Ocupações (CBO) </t>
  </si>
  <si>
    <t xml:space="preserve">Salário Normativo da Categoria Profissional </t>
  </si>
  <si>
    <t>Data-Base da Categoria (dia/mês/ano)</t>
  </si>
  <si>
    <t xml:space="preserve">Ano do Acordo, Convenção ou Dissídio Coletivo: </t>
  </si>
  <si>
    <t>Indicação dos sindicatos, acordos coletivos ou convenções coletivas</t>
  </si>
  <si>
    <t>Composição da Remuneração</t>
  </si>
  <si>
    <t>Total</t>
  </si>
  <si>
    <t>Provisão para Rescisão</t>
  </si>
  <si>
    <t>Insumos Diversos</t>
  </si>
  <si>
    <t>Custos Indiretos, Tributos e Lucro</t>
  </si>
  <si>
    <t>Férias e Adicional de Férias</t>
  </si>
  <si>
    <t>Módulo 1 - COMPOSIÇÃO DA REMUNERAÇÃO</t>
  </si>
  <si>
    <t>Módulo 2 - ENCARGOS E BENEFÍCIOS ANUAIS, MENSAIS E DIÁRIOS</t>
  </si>
  <si>
    <t>Submódulo 2.2 - Encargos Previdenciários (GPS), Fundo de Garantia por Tempo de Serviço (FGTS) e outras contribuições</t>
  </si>
  <si>
    <t>GPS, FGTS e outras contribuições</t>
  </si>
  <si>
    <t>Encargos e Benefícios Anuais, Mensais e Diários</t>
  </si>
  <si>
    <t>Quadro-Resumo do Módulo 2 - Encargos e Benefícios anuais, mensais e diários</t>
  </si>
  <si>
    <t>Módulo 3 - PROVISÃO PARA RESCISÃO</t>
  </si>
  <si>
    <t>Módulo 4 - CUSTO DE REPOSIÇÃO DO PROFISSIONAL AUSENTE</t>
  </si>
  <si>
    <t>Quadro-Resumo do Módulo 4 - Custo De Reposição do Profissional Ausente</t>
  </si>
  <si>
    <t>Custo de Reposição do Profissional Ausente</t>
  </si>
  <si>
    <t>Módulo 5 - INSUMOS DIVERSOS</t>
  </si>
  <si>
    <t>Módulo 6 - CUSTOS INDIRETOS, TRIBUTOS E LUCRO</t>
  </si>
  <si>
    <t>VALOR TOTAL POR EMPREGADO</t>
  </si>
  <si>
    <t>Módulo 1 - Composição da Remuneração</t>
  </si>
  <si>
    <t>Módulo 2 - Encargos e Benefícios Anuais, Mensais e Diários</t>
  </si>
  <si>
    <t>Módulo 3 - Provisão para Rescisão</t>
  </si>
  <si>
    <t>Módulo 5 - Insumos Diversos</t>
  </si>
  <si>
    <t>Módulo 6 - Custos Indiretos, Tributos e Lucro</t>
  </si>
  <si>
    <t>Item</t>
  </si>
  <si>
    <t>Custo Unitário</t>
  </si>
  <si>
    <t>Cargo</t>
  </si>
  <si>
    <t>Meses</t>
  </si>
  <si>
    <t>Valor Mensal</t>
  </si>
  <si>
    <t>Valor Total</t>
  </si>
  <si>
    <t>QUADRO RESUMO</t>
  </si>
  <si>
    <t>Submódulo 4.1 - Substituto nas Ausências Legais</t>
  </si>
  <si>
    <t>Substituto nas Ausências Legais</t>
  </si>
  <si>
    <t>Submódulo 4.2 - Substituto na Intrajornada</t>
  </si>
  <si>
    <t>Substituto na Intrajornada</t>
  </si>
  <si>
    <t>Substituto na cobertura de Intervalo para repouso ou alimentação</t>
  </si>
  <si>
    <t>Registro Eletrônico de Ponto</t>
  </si>
  <si>
    <t>Valor Unitário</t>
  </si>
  <si>
    <t>API com Probabilidade</t>
  </si>
  <si>
    <t>Aviso Prévio Indenizado - API</t>
  </si>
  <si>
    <t>APT com Probabilidade</t>
  </si>
  <si>
    <t xml:space="preserve">FAP </t>
  </si>
  <si>
    <t>SAT - GIIL/RAT</t>
  </si>
  <si>
    <t xml:space="preserve">RAT </t>
  </si>
  <si>
    <t>Dias</t>
  </si>
  <si>
    <t>Valor Total por Empregado</t>
  </si>
  <si>
    <t>Tributos</t>
  </si>
  <si>
    <t>Total Custo Variável (Pagamento pelo Fato Gerador)</t>
  </si>
  <si>
    <t>Adicional de Hora Extra</t>
  </si>
  <si>
    <t>Quant. h/mês</t>
  </si>
  <si>
    <r>
      <t>13º (Décimo-terceiro) salário</t>
    </r>
    <r>
      <rPr>
        <sz val="9"/>
        <color indexed="10"/>
        <rFont val="Tahoma"/>
        <family val="2"/>
      </rPr>
      <t xml:space="preserve"> </t>
    </r>
  </si>
  <si>
    <t>Custo diário do substituto</t>
  </si>
  <si>
    <t>Vida Útil (meses)</t>
  </si>
  <si>
    <t>CUSTO TOTAL MENSAL</t>
  </si>
  <si>
    <t>EQUIPAMENTOS</t>
  </si>
  <si>
    <t>Investimento</t>
  </si>
  <si>
    <t>Nº de Mudas por posto</t>
  </si>
  <si>
    <t>Custo anual por posto</t>
  </si>
  <si>
    <t>Custo mensal por posto</t>
  </si>
  <si>
    <t>Quant. por posto</t>
  </si>
  <si>
    <t>BASE DE CÁLCULO DOS TRIBUTOS</t>
  </si>
  <si>
    <t>Mão de Obra vinculada à execução contratual (valor por posto)</t>
  </si>
  <si>
    <t>Memória de cálculo da hora extra</t>
  </si>
  <si>
    <t>Quant. de postos</t>
  </si>
  <si>
    <t>Quant. de equipamentos</t>
  </si>
  <si>
    <t>VALOR TOTAL</t>
  </si>
  <si>
    <t>Valor da hora extra</t>
  </si>
  <si>
    <r>
      <t>Quantidade (</t>
    </r>
    <r>
      <rPr>
        <b/>
        <sz val="9"/>
        <color rgb="FFFF0000"/>
        <rFont val="Tahoma"/>
        <family val="2"/>
      </rPr>
      <t>Posto</t>
    </r>
    <r>
      <rPr>
        <b/>
        <sz val="9"/>
        <color theme="1"/>
        <rFont val="Tahoma"/>
        <family val="2"/>
      </rPr>
      <t xml:space="preserve">) </t>
    </r>
  </si>
  <si>
    <t>Anexo II</t>
  </si>
  <si>
    <t>Os valores destinados ao pagamento de férias, décimo terceiro salário, ausências legais e verbas rescisórias dos empregados da contratada que participarem da execução dos serviços contratados serão efetuados pela contratante à contratada somente na ocorrência do fato gerador</t>
  </si>
  <si>
    <t>Pagamento Mensal Sem Fato Gerador</t>
  </si>
  <si>
    <t>Categoria Profissional (nome do cargo)</t>
  </si>
  <si>
    <t>1.A x 30%</t>
  </si>
  <si>
    <t>Tot.1</t>
  </si>
  <si>
    <t>Tot.1 x 8,33%</t>
  </si>
  <si>
    <t>Tot.2.1</t>
  </si>
  <si>
    <t>Tot.1 x 11,11%</t>
  </si>
  <si>
    <t>(Tot.1 + Tot.2.1) x 20%</t>
  </si>
  <si>
    <t>(Tot.1 + Tot.2.1) x 2,5%</t>
  </si>
  <si>
    <t>(Tot.1 + Tot.2.1) x 1,5%</t>
  </si>
  <si>
    <t>(Tot.1 + Tot.2.1) x 1%</t>
  </si>
  <si>
    <t>(Tot.1 + Tot.2.1) x 0,6%</t>
  </si>
  <si>
    <t>(Tot.1 + Tot.2.1) x 0,2%</t>
  </si>
  <si>
    <t>(Tot.1 + Tot.2.1) x 8%</t>
  </si>
  <si>
    <t>(Tot.1 + Tot.2.1) x (RAT x FAP)</t>
  </si>
  <si>
    <t>Tot.2.2</t>
  </si>
  <si>
    <t>Tot.2.3</t>
  </si>
  <si>
    <t>Tot.2</t>
  </si>
  <si>
    <t>(VT diário x 22 d.u.) - (1.A x 6%)</t>
  </si>
  <si>
    <t>(VR/VA x 22 d.u.) - (Custo do empregado)</t>
  </si>
  <si>
    <t>(Tot.1 + Tot.2 + Tot.3) ÷ 30 dias</t>
  </si>
  <si>
    <t>Tot.3</t>
  </si>
  <si>
    <t>Tot.4.1</t>
  </si>
  <si>
    <t>Tot.4.2</t>
  </si>
  <si>
    <t>Tot.4</t>
  </si>
  <si>
    <t>Tot.5</t>
  </si>
  <si>
    <t>Tot.6</t>
  </si>
  <si>
    <t>(4.1.C x 30 dias) ÷ 12 meses</t>
  </si>
  <si>
    <t>6.A + 6.B + 6.C.1 + 6.C.2 + 6.C.3</t>
  </si>
  <si>
    <t>Tot.7</t>
  </si>
  <si>
    <t>Tot.8</t>
  </si>
  <si>
    <t>Provisão para férias, 13º salário , ausências legais, Rescisão</t>
  </si>
  <si>
    <t>Tot.2.1 + Tot.3 + Tot.4.1</t>
  </si>
  <si>
    <t>Outros (ausências legais, paternidade,  acidente de trabalho, maternidade, outros)</t>
  </si>
  <si>
    <r>
      <t xml:space="preserve">(4.1.C x </t>
    </r>
    <r>
      <rPr>
        <sz val="8"/>
        <color rgb="FFFF0000"/>
        <rFont val="Tahoma"/>
        <family val="2"/>
      </rPr>
      <t>XX</t>
    </r>
    <r>
      <rPr>
        <sz val="8"/>
        <rFont val="Tahoma"/>
        <family val="2"/>
      </rPr>
      <t xml:space="preserve"> dias) ÷ 12 meses</t>
    </r>
  </si>
  <si>
    <r>
      <t xml:space="preserve">7.F x </t>
    </r>
    <r>
      <rPr>
        <sz val="8"/>
        <color rgb="FFFF0000"/>
        <rFont val="Tahoma"/>
        <family val="2"/>
      </rPr>
      <t>XX</t>
    </r>
    <r>
      <rPr>
        <sz val="8"/>
        <rFont val="Tahoma"/>
        <family val="2"/>
      </rPr>
      <t>%</t>
    </r>
  </si>
  <si>
    <r>
      <t xml:space="preserve">(7.F + 6.A) x </t>
    </r>
    <r>
      <rPr>
        <sz val="8"/>
        <color rgb="FFFF0000"/>
        <rFont val="Tahoma"/>
        <family val="2"/>
      </rPr>
      <t>XX</t>
    </r>
    <r>
      <rPr>
        <sz val="8"/>
        <rFont val="Tahoma"/>
        <family val="2"/>
      </rPr>
      <t>%</t>
    </r>
  </si>
  <si>
    <r>
      <t xml:space="preserve">(7.F + 6.A + 6.B) ÷ </t>
    </r>
    <r>
      <rPr>
        <sz val="8"/>
        <color rgb="FFFF0000"/>
        <rFont val="Tahoma"/>
        <family val="2"/>
      </rPr>
      <t>XX</t>
    </r>
  </si>
  <si>
    <r>
      <t xml:space="preserve">6.C x </t>
    </r>
    <r>
      <rPr>
        <sz val="8"/>
        <color rgb="FFFF0000"/>
        <rFont val="Tahoma"/>
        <family val="2"/>
      </rPr>
      <t>XX</t>
    </r>
    <r>
      <rPr>
        <sz val="8"/>
        <rFont val="Tahoma"/>
        <family val="2"/>
      </rPr>
      <t>%</t>
    </r>
  </si>
  <si>
    <r>
      <t xml:space="preserve">(8.B + 8.C) x </t>
    </r>
    <r>
      <rPr>
        <sz val="8"/>
        <color rgb="FFFF0000"/>
        <rFont val="Tahoma"/>
        <family val="2"/>
      </rPr>
      <t>XX</t>
    </r>
    <r>
      <rPr>
        <sz val="8"/>
        <color theme="1"/>
        <rFont val="Tahoma"/>
        <family val="2"/>
      </rPr>
      <t>%</t>
    </r>
  </si>
  <si>
    <r>
      <t xml:space="preserve">(8.B + 8.C + 8.D) x </t>
    </r>
    <r>
      <rPr>
        <sz val="8"/>
        <color rgb="FFFF0000"/>
        <rFont val="Tahoma"/>
        <family val="2"/>
      </rPr>
      <t>XX</t>
    </r>
    <r>
      <rPr>
        <sz val="8"/>
        <color theme="1"/>
        <rFont val="Tahoma"/>
        <family val="2"/>
      </rPr>
      <t>%</t>
    </r>
  </si>
  <si>
    <t>7.F + 7.G</t>
  </si>
  <si>
    <t>7.A + 7.B + 7.C + 7.D + 7.E</t>
  </si>
  <si>
    <r>
      <t xml:space="preserve">1.A x </t>
    </r>
    <r>
      <rPr>
        <sz val="8"/>
        <color rgb="FFFF0000"/>
        <rFont val="Tahoma"/>
        <family val="2"/>
      </rPr>
      <t>XX</t>
    </r>
    <r>
      <rPr>
        <sz val="8"/>
        <rFont val="Tahoma"/>
        <family val="2"/>
      </rPr>
      <t xml:space="preserve">% </t>
    </r>
    <r>
      <rPr>
        <sz val="8"/>
        <color rgb="FFFF0000"/>
        <rFont val="Tahoma"/>
        <family val="2"/>
      </rPr>
      <t>(10%, 20% ou 40%)</t>
    </r>
  </si>
  <si>
    <t>2.2.H x 40%</t>
  </si>
  <si>
    <t>Encargos Previdenciários, FGTS e outras contribuições</t>
  </si>
  <si>
    <t>8.A - 8.G</t>
  </si>
  <si>
    <r>
      <t xml:space="preserve">(8.B + 8.C + 8.D + 8.E) x </t>
    </r>
    <r>
      <rPr>
        <sz val="8"/>
        <color rgb="FFFF0000"/>
        <rFont val="Tahoma"/>
        <family val="2"/>
      </rPr>
      <t>XX</t>
    </r>
    <r>
      <rPr>
        <sz val="8"/>
        <color theme="1"/>
        <rFont val="Tahoma"/>
        <family val="2"/>
      </rPr>
      <t>%</t>
    </r>
  </si>
  <si>
    <t>8.B + 8.C + 8.D + 8.E + 8.F</t>
  </si>
  <si>
    <t>Aviso Prévio - Lei nº 12.506/2011, Art. 1º</t>
  </si>
  <si>
    <t>[(1.A + 1.B) x 20%]/220h x 8h x nº dias trabalhados mês</t>
  </si>
  <si>
    <r>
      <t xml:space="preserve">{[(1.A + 1.B + 1.C) ÷ 220h] x </t>
    </r>
    <r>
      <rPr>
        <sz val="8"/>
        <color rgb="FFFF0000"/>
        <rFont val="Tahoma"/>
        <family val="2"/>
      </rPr>
      <t>XX</t>
    </r>
    <r>
      <rPr>
        <sz val="8"/>
        <rFont val="Tahoma"/>
        <family val="2"/>
      </rPr>
      <t xml:space="preserve"> h} x </t>
    </r>
    <r>
      <rPr>
        <sz val="8"/>
        <color rgb="FFFF0000"/>
        <rFont val="Tahoma"/>
        <family val="2"/>
      </rPr>
      <t>XX</t>
    </r>
    <r>
      <rPr>
        <sz val="8"/>
        <rFont val="Tahoma"/>
        <family val="2"/>
      </rPr>
      <t xml:space="preserve">% </t>
    </r>
    <r>
      <rPr>
        <sz val="8"/>
        <color rgb="FFFF0000"/>
        <rFont val="Tahoma"/>
        <family val="2"/>
      </rPr>
      <t>(50% ou 100%)</t>
    </r>
  </si>
  <si>
    <t>(Tot.1 + Tot.2.1 + 2.2.H + Tot.2.3 - 2.3.A) ÷ 12 meses</t>
  </si>
  <si>
    <t>Tot. 2.1 x Encargos % 2.2</t>
  </si>
  <si>
    <r>
      <t xml:space="preserve">(Tot.1 + Tot.2 + Tot.3) ÷ 220h x (1+50%) x </t>
    </r>
    <r>
      <rPr>
        <sz val="8"/>
        <color rgb="FFFF0000"/>
        <rFont val="Tahoma"/>
        <family val="2"/>
      </rPr>
      <t>XX</t>
    </r>
    <r>
      <rPr>
        <sz val="8"/>
        <rFont val="Tahoma"/>
        <family val="2"/>
      </rPr>
      <t xml:space="preserve"> dias</t>
    </r>
  </si>
  <si>
    <t>excluir, se for o caso</t>
  </si>
  <si>
    <r>
      <t>[Local]</t>
    </r>
    <r>
      <rPr>
        <sz val="9"/>
        <rFont val="Tahoma"/>
        <family val="2"/>
      </rPr>
      <t xml:space="preserve">, </t>
    </r>
    <r>
      <rPr>
        <sz val="9"/>
        <color rgb="FFFF0000"/>
        <rFont val="Tahoma"/>
        <family val="2"/>
      </rPr>
      <t>XX</t>
    </r>
    <r>
      <rPr>
        <sz val="9"/>
        <rFont val="Tahoma"/>
        <family val="2"/>
      </rPr>
      <t xml:space="preserve"> de </t>
    </r>
    <r>
      <rPr>
        <sz val="9"/>
        <color rgb="FFFF0000"/>
        <rFont val="Tahoma"/>
        <family val="2"/>
      </rPr>
      <t>XXXXXX</t>
    </r>
    <r>
      <rPr>
        <sz val="9"/>
        <rFont val="Tahoma"/>
        <family val="2"/>
      </rPr>
      <t xml:space="preserve"> de </t>
    </r>
    <r>
      <rPr>
        <sz val="9"/>
        <color rgb="FFFF0000"/>
        <rFont val="Tahoma"/>
        <family val="2"/>
      </rPr>
      <t>XXXX</t>
    </r>
    <r>
      <rPr>
        <sz val="9"/>
        <rFont val="Tahoma"/>
        <family val="2"/>
      </rPr>
      <t>.</t>
    </r>
  </si>
  <si>
    <t>________________________________________</t>
  </si>
  <si>
    <t>[Assinatura do Representante legal]</t>
  </si>
  <si>
    <t xml:space="preserve"> Nome: ___________________</t>
  </si>
  <si>
    <t xml:space="preserve"> Cargo: ___________________</t>
  </si>
  <si>
    <t>CPF: ____________________</t>
  </si>
  <si>
    <t>Preencher apenas as células em amarelo e substituir os caracteres em vermelho</t>
  </si>
  <si>
    <t>CUSTO POR EMPREGADO</t>
  </si>
  <si>
    <t>Módulo 7 - QUADRO-RESUMO DO CUSTO POR EMPREGADO</t>
  </si>
  <si>
    <t>PAGAMENTO MÍNIMO MENSAL SEM FATO GERADOR E/OU OUTRAS OCORRÊNCIAS</t>
  </si>
  <si>
    <t>Módulo 8- QUADRO-RESUMO DO PAGAMENTO MENSAL SEM FATO GERADOR E/OU OUTRAS OCORRÊNCIAS</t>
  </si>
  <si>
    <t>Prazo de depreciação do equipamento (meses)</t>
  </si>
  <si>
    <t>Contrato inicial</t>
  </si>
  <si>
    <t>{[(Tot.1+Tot.2.1+Tot.2.2)÷30 dias] x 3 dias} ÷ 12 meses</t>
  </si>
  <si>
    <t>Sal. Mínimo</t>
  </si>
  <si>
    <t>O proponente declara:
a) que as informações prestadas são verídicas, assumindo a responsabilidade integral por eventuais erros no enquadramento sindical ou fraude pela utilização de instrumento coletivo incompatível com o enquadramento sindical declarado, e por qualquer ônus decorrente de reenquadramentos que ocorram durante a vigência contratual, sujeitando-se às sanções previstas na Lei 13.303/16.
b) que a proposta econômica compreende a integralidade dos custos para atendimento dos direitos trabalhistas assegurados na Constituição Federal, nas leis trabalhistas, nas normas infralegais, nas convenções coletivas de trabalho e nos termos de ajustamento de conduta vigentes na data de entrega da proposta e que foi elaborada de forma independente.</t>
  </si>
  <si>
    <t>Seguem em anexo:
a) cópia da carta ou do registro sindical do sindicato ao qual este Licitante declara ser enquadrado.
b) cópia do Acordo, Convenção Coletiva de Trabalho ou Dissídio Coletivo utilizado por este Licitante para a elaboração da planilha de custos e formação de preços que embasam o valor global ofertado. 
c) documento comprobatório do RAT.</t>
  </si>
  <si>
    <r>
      <t xml:space="preserve">Segue a indicação do enquadramento sindical do licitante, relacionando qual a atividade econômica preponderante e a justificativa para adoção do instrumento coletivo do trabalho em que se baseia a proposta: </t>
    </r>
    <r>
      <rPr>
        <sz val="9"/>
        <color rgb="FFFF0000"/>
        <rFont val="Tahoma"/>
        <family val="2"/>
      </rPr>
      <t>XXXX</t>
    </r>
  </si>
  <si>
    <r>
      <t xml:space="preserve">VALIDADE DA PROPOSTA: </t>
    </r>
    <r>
      <rPr>
        <sz val="9"/>
        <color rgb="FFFF0000"/>
        <rFont val="Tahoma"/>
        <family val="2"/>
      </rPr>
      <t>XX</t>
    </r>
    <r>
      <rPr>
        <sz val="9"/>
        <rFont val="Tahoma"/>
        <family val="2"/>
      </rPr>
      <t xml:space="preserve"> (</t>
    </r>
    <r>
      <rPr>
        <sz val="9"/>
        <color rgb="FFFF0000"/>
        <rFont val="Tahoma"/>
        <family val="2"/>
      </rPr>
      <t>XXXX</t>
    </r>
    <r>
      <rPr>
        <sz val="9"/>
        <rFont val="Tahoma"/>
        <family val="2"/>
      </rPr>
      <t>) dias, a contar do dia da sessão de recebimento da mesma (observar o subitem 6.5 do Edital).</t>
    </r>
  </si>
  <si>
    <t>Substituto nas férias</t>
  </si>
  <si>
    <t>Multa do FGTS</t>
  </si>
  <si>
    <r>
      <t xml:space="preserve">(3.A + 3.B) x </t>
    </r>
    <r>
      <rPr>
        <sz val="8"/>
        <color rgb="FFFF0000"/>
        <rFont val="Tahoma"/>
        <family val="2"/>
      </rPr>
      <t>XX</t>
    </r>
    <r>
      <rPr>
        <sz val="8"/>
        <rFont val="Tahoma"/>
        <family val="2"/>
      </rPr>
      <t>%</t>
    </r>
  </si>
  <si>
    <r>
      <t xml:space="preserve">3.A x </t>
    </r>
    <r>
      <rPr>
        <sz val="8"/>
        <color rgb="FFFF0000"/>
        <rFont val="Tahoma"/>
        <family val="2"/>
      </rPr>
      <t>XX</t>
    </r>
    <r>
      <rPr>
        <sz val="8"/>
        <rFont val="Tahoma"/>
        <family val="2"/>
      </rPr>
      <t>%</t>
    </r>
  </si>
  <si>
    <t>Telefonista</t>
  </si>
  <si>
    <t>Terninho</t>
  </si>
  <si>
    <t>Camisa Social</t>
  </si>
  <si>
    <t>Lenço / gravata</t>
  </si>
  <si>
    <t>Cinto social</t>
  </si>
  <si>
    <t>Sapato social</t>
  </si>
  <si>
    <t>Calça social</t>
  </si>
  <si>
    <t>Agasalho</t>
  </si>
  <si>
    <t>CUSTO TOTAL MENSAL (TELEFONISTA)</t>
  </si>
  <si>
    <t>CUSTO TOTAL MENSAL (RECEPCIONISTA)</t>
  </si>
  <si>
    <t>Par de meias</t>
  </si>
  <si>
    <t>Recepcionista</t>
  </si>
  <si>
    <t>Valor médio por posto</t>
  </si>
  <si>
    <r>
      <t xml:space="preserve">Benefício social familiar </t>
    </r>
    <r>
      <rPr>
        <sz val="9"/>
        <color rgb="FFFF0000"/>
        <rFont val="Tahoma"/>
        <family val="2"/>
      </rPr>
      <t>(Cláusula 27ª da CCT)</t>
    </r>
  </si>
  <si>
    <r>
      <t xml:space="preserve">Assistência médica e hospitalar </t>
    </r>
    <r>
      <rPr>
        <sz val="9"/>
        <color rgb="FFFF0000"/>
        <rFont val="Tahoma"/>
        <family val="2"/>
      </rPr>
      <t>(RES/DIR/0007/2026)</t>
    </r>
  </si>
  <si>
    <r>
      <t xml:space="preserve">Transporte </t>
    </r>
    <r>
      <rPr>
        <sz val="9"/>
        <color rgb="FFFF0000"/>
        <rFont val="Tahoma"/>
        <family val="2"/>
      </rPr>
      <t>(RES/DIR/0007/2026)</t>
    </r>
  </si>
  <si>
    <r>
      <t xml:space="preserve">Auxílio-Refeição/Alimentação </t>
    </r>
    <r>
      <rPr>
        <sz val="9"/>
        <color rgb="FFFF0000"/>
        <rFont val="Tahoma"/>
        <family val="2"/>
      </rPr>
      <t xml:space="preserve">(RES/DIR/0007/2026) </t>
    </r>
  </si>
  <si>
    <r>
      <t xml:space="preserve">Benefício social familiar </t>
    </r>
    <r>
      <rPr>
        <sz val="9"/>
        <color rgb="FFFF0000"/>
        <rFont val="Tahoma"/>
        <family val="2"/>
      </rPr>
      <t>(Cláusula 17ª da CCT)</t>
    </r>
  </si>
  <si>
    <t>UNIFORMES - RECEPCIONISTA</t>
  </si>
  <si>
    <t>UNIFORMES - TELEFONISTA</t>
  </si>
  <si>
    <r>
      <t>OBJETO:</t>
    </r>
    <r>
      <rPr>
        <sz val="9"/>
        <rFont val="Tahoma"/>
        <family val="2"/>
      </rPr>
      <t xml:space="preserve"> Serviços continuados de telefonista e recepcionistas com mão de obra exclusiva, para as dependências da Finep no Rio de Janeiro</t>
    </r>
  </si>
  <si>
    <t>Ref.: Pregão eletrônico nº 90015/2026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</si>
</sst>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R$&quot;\ #,##0.00;\-&quot;R$&quot;\ #,##0.00"/>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0.00_ ;\-#,##0.00\ "/>
    <numFmt numFmtId="166" formatCode="#,##0_ ;\-#,##0\ "/>
    <numFmt numFmtId="167" formatCode="&quot;R$&quot;\ #,##0.00"/>
  </numFmts>
  <fonts count="30" x14ac:knownFonts="1">
    <font>
      <sz val="10"/>
      <name val="Arial"/>
      <family val="2"/>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9"/>
      <name val="Tahoma"/>
      <family val="2"/>
    </font>
    <font>
      <sz val="9"/>
      <name val="Tahoma"/>
      <family val="2"/>
    </font>
    <font>
      <b/>
      <sz val="10"/>
      <name val="Tahoma"/>
      <family val="2"/>
    </font>
    <font>
      <b/>
      <sz val="9"/>
      <color rgb="FFFF0000"/>
      <name val="Tahoma"/>
      <family val="2"/>
    </font>
    <font>
      <sz val="9"/>
      <color indexed="10"/>
      <name val="Tahoma"/>
      <family val="2"/>
    </font>
    <font>
      <sz val="9"/>
      <color rgb="FFFF0000"/>
      <name val="Tahoma"/>
      <family val="2"/>
    </font>
    <font>
      <b/>
      <sz val="11"/>
      <color theme="1"/>
      <name val="Tahoma"/>
      <family val="2"/>
    </font>
    <font>
      <sz val="8"/>
      <color theme="1"/>
      <name val="Tahoma"/>
      <family val="2"/>
    </font>
    <font>
      <sz val="9"/>
      <color theme="1"/>
      <name val="Tahoma"/>
      <family val="2"/>
    </font>
    <font>
      <b/>
      <sz val="9"/>
      <color theme="1"/>
      <name val="Tahoma"/>
      <family val="2"/>
    </font>
    <font>
      <sz val="8"/>
      <name val="Tahoma"/>
      <family val="2"/>
    </font>
    <font>
      <sz val="8"/>
      <color rgb="FFFF0000"/>
      <name val="Tahoma"/>
      <family val="2"/>
    </font>
    <font>
      <b/>
      <sz val="8"/>
      <color rgb="FFFF0000"/>
      <name val="Tahoma"/>
      <family val="2"/>
    </font>
    <font>
      <b/>
      <sz val="9"/>
      <color theme="3"/>
      <name val="Tahoma"/>
      <family val="2"/>
    </font>
    <font>
      <sz val="9"/>
      <color indexed="8"/>
      <name val="Tahoma"/>
      <family val="2"/>
    </font>
    <font>
      <b/>
      <sz val="8"/>
      <name val="Tahoma"/>
      <family val="2"/>
    </font>
    <font>
      <sz val="9"/>
      <color indexed="81"/>
      <name val="Segoe UI"/>
      <family val="2"/>
    </font>
    <font>
      <b/>
      <sz val="9"/>
      <color indexed="81"/>
      <name val="Segoe UI"/>
      <family val="2"/>
    </font>
    <font>
      <b/>
      <sz val="11"/>
      <name val="Tahoma"/>
      <family val="2"/>
    </font>
    <font>
      <b/>
      <sz val="8"/>
      <color theme="1"/>
      <name val="Tahoma"/>
      <family val="2"/>
    </font>
    <font>
      <sz val="7.5"/>
      <name val="Tahoma"/>
      <family val="2"/>
    </font>
    <font>
      <sz val="9"/>
      <color theme="3"/>
      <name val="Tahoma"/>
      <family val="2"/>
    </font>
    <font>
      <sz val="9"/>
      <color indexed="81"/>
      <name val="Segoe UI"/>
      <charset val="1"/>
    </font>
    <font>
      <b/>
      <sz val="9"/>
      <color indexed="81"/>
      <name val="Segoe UI"/>
      <charset val="1"/>
    </font>
  </fonts>
  <fills count="10">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diagonal/>
    </border>
  </borders>
  <cellStyleXfs count="14">
    <xf numFmtId="0" fontId="0" fillId="0" borderId="0"/>
    <xf numFmtId="164" fontId="3" fillId="0" borderId="0" applyFill="0" applyBorder="0" applyAlignment="0" applyProtection="0"/>
    <xf numFmtId="9" fontId="3" fillId="0" borderId="0" applyFill="0" applyBorder="0" applyAlignment="0" applyProtection="0"/>
    <xf numFmtId="43" fontId="3" fillId="0" borderId="0" applyFont="0" applyFill="0" applyBorder="0" applyAlignment="0" applyProtection="0"/>
    <xf numFmtId="0" fontId="2"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cellStyleXfs>
  <cellXfs count="287">
    <xf numFmtId="0" fontId="0" fillId="0" borderId="0" xfId="0"/>
    <xf numFmtId="0" fontId="14" fillId="0" borderId="0" xfId="0" applyFont="1" applyAlignment="1">
      <alignment vertical="center"/>
    </xf>
    <xf numFmtId="0" fontId="7" fillId="0" borderId="0" xfId="0" applyFont="1" applyAlignment="1">
      <alignment horizontal="center" vertical="center" wrapText="1"/>
    </xf>
    <xf numFmtId="0" fontId="14" fillId="5" borderId="1" xfId="0" applyFont="1" applyFill="1" applyBorder="1" applyAlignment="1">
      <alignment horizontal="center" vertical="center" wrapText="1"/>
    </xf>
    <xf numFmtId="8" fontId="14" fillId="0" borderId="1" xfId="0" applyNumberFormat="1" applyFont="1" applyBorder="1" applyAlignment="1">
      <alignment vertical="center" wrapText="1"/>
    </xf>
    <xf numFmtId="8" fontId="14" fillId="5" borderId="1" xfId="0" applyNumberFormat="1" applyFont="1" applyFill="1" applyBorder="1" applyAlignment="1">
      <alignment horizontal="right" vertical="center" wrapText="1"/>
    </xf>
    <xf numFmtId="8" fontId="15" fillId="0" borderId="1" xfId="0" applyNumberFormat="1" applyFont="1" applyBorder="1" applyAlignment="1">
      <alignment vertical="center"/>
    </xf>
    <xf numFmtId="8" fontId="6" fillId="0" borderId="1" xfId="0" applyNumberFormat="1" applyFont="1" applyBorder="1" applyAlignment="1">
      <alignment vertical="center"/>
    </xf>
    <xf numFmtId="0" fontId="20" fillId="6" borderId="17" xfId="0" applyFont="1" applyFill="1" applyBorder="1" applyAlignment="1">
      <alignment horizontal="center" vertical="center"/>
    </xf>
    <xf numFmtId="165" fontId="14" fillId="5" borderId="1" xfId="0" applyNumberFormat="1" applyFont="1" applyFill="1" applyBorder="1" applyAlignment="1">
      <alignment vertical="center"/>
    </xf>
    <xf numFmtId="10" fontId="14" fillId="0" borderId="1" xfId="2" applyNumberFormat="1" applyFont="1" applyBorder="1" applyAlignment="1">
      <alignment horizontal="center" vertical="center" wrapText="1"/>
    </xf>
    <xf numFmtId="0" fontId="6" fillId="0" borderId="8" xfId="0" applyFont="1" applyBorder="1" applyAlignment="1">
      <alignment horizontal="center" vertical="center"/>
    </xf>
    <xf numFmtId="0" fontId="5" fillId="0" borderId="0" xfId="0" applyFont="1" applyAlignment="1">
      <alignment vertical="center"/>
    </xf>
    <xf numFmtId="0" fontId="8" fillId="0" borderId="0" xfId="0" applyFont="1" applyAlignment="1">
      <alignment horizontal="left" vertical="center"/>
    </xf>
    <xf numFmtId="0" fontId="6" fillId="0" borderId="1" xfId="0" applyFont="1" applyBorder="1" applyAlignment="1">
      <alignment horizontal="center" vertical="center"/>
    </xf>
    <xf numFmtId="0" fontId="7" fillId="3" borderId="1" xfId="0" applyFont="1" applyFill="1" applyBorder="1" applyAlignment="1">
      <alignment vertical="center"/>
    </xf>
    <xf numFmtId="43" fontId="7" fillId="0" borderId="1" xfId="3" applyFont="1" applyBorder="1" applyAlignment="1">
      <alignment vertical="center"/>
    </xf>
    <xf numFmtId="43" fontId="6" fillId="3" borderId="1" xfId="3" applyFont="1" applyFill="1" applyBorder="1" applyAlignment="1">
      <alignment vertical="center"/>
    </xf>
    <xf numFmtId="43" fontId="6" fillId="0" borderId="0" xfId="3" applyFont="1" applyFill="1" applyBorder="1" applyAlignment="1">
      <alignment vertical="center"/>
    </xf>
    <xf numFmtId="10" fontId="7" fillId="0" borderId="1" xfId="0" applyNumberFormat="1" applyFont="1" applyBorder="1" applyAlignment="1">
      <alignment horizontal="center" vertical="center"/>
    </xf>
    <xf numFmtId="43" fontId="7" fillId="0" borderId="1" xfId="3" applyFont="1" applyFill="1" applyBorder="1" applyAlignment="1">
      <alignment vertical="center"/>
    </xf>
    <xf numFmtId="10" fontId="6" fillId="3" borderId="1" xfId="0" applyNumberFormat="1" applyFont="1" applyFill="1" applyBorder="1" applyAlignment="1">
      <alignment horizontal="center" vertical="center"/>
    </xf>
    <xf numFmtId="10" fontId="6" fillId="3" borderId="13" xfId="0" applyNumberFormat="1" applyFont="1" applyFill="1" applyBorder="1" applyAlignment="1">
      <alignment horizontal="center" vertical="center"/>
    </xf>
    <xf numFmtId="43" fontId="6" fillId="0" borderId="1" xfId="3" applyFont="1" applyFill="1" applyBorder="1" applyAlignment="1">
      <alignment vertical="center"/>
    </xf>
    <xf numFmtId="0" fontId="16" fillId="0" borderId="0" xfId="0" applyFont="1" applyAlignment="1">
      <alignment horizontal="left" vertical="center" wrapText="1"/>
    </xf>
    <xf numFmtId="43" fontId="7" fillId="0" borderId="1" xfId="3" applyFont="1" applyFill="1" applyBorder="1" applyAlignment="1">
      <alignment horizontal="center" vertical="center"/>
    </xf>
    <xf numFmtId="2" fontId="6" fillId="0" borderId="0" xfId="0" applyNumberFormat="1" applyFont="1" applyAlignment="1">
      <alignment vertical="center"/>
    </xf>
    <xf numFmtId="0" fontId="6" fillId="3" borderId="1" xfId="0" applyFont="1" applyFill="1" applyBorder="1" applyAlignment="1">
      <alignment vertical="center"/>
    </xf>
    <xf numFmtId="164" fontId="6" fillId="3" borderId="1" xfId="1" applyFont="1" applyFill="1" applyBorder="1" applyAlignment="1">
      <alignment vertical="center"/>
    </xf>
    <xf numFmtId="2" fontId="5" fillId="0" borderId="0" xfId="0" applyNumberFormat="1" applyFont="1" applyAlignment="1">
      <alignment vertical="center"/>
    </xf>
    <xf numFmtId="165" fontId="15" fillId="2" borderId="1" xfId="0" applyNumberFormat="1" applyFont="1" applyFill="1" applyBorder="1" applyAlignment="1">
      <alignment vertical="center"/>
    </xf>
    <xf numFmtId="43" fontId="7" fillId="7" borderId="1" xfId="3" applyFont="1" applyFill="1" applyBorder="1" applyAlignment="1">
      <alignment vertical="center"/>
    </xf>
    <xf numFmtId="9" fontId="7" fillId="7" borderId="1" xfId="2" applyFont="1" applyFill="1" applyBorder="1" applyAlignment="1">
      <alignment horizontal="center" vertical="center"/>
    </xf>
    <xf numFmtId="10" fontId="7" fillId="7" borderId="1" xfId="2" applyNumberFormat="1" applyFont="1" applyFill="1" applyBorder="1" applyAlignment="1">
      <alignment horizontal="center" vertical="center"/>
    </xf>
    <xf numFmtId="43" fontId="7" fillId="0" borderId="1" xfId="0" applyNumberFormat="1" applyFont="1" applyBorder="1" applyAlignment="1">
      <alignment vertical="center"/>
    </xf>
    <xf numFmtId="9" fontId="7" fillId="7" borderId="2" xfId="0" applyNumberFormat="1" applyFont="1" applyFill="1" applyBorder="1" applyAlignment="1">
      <alignment horizontal="center" vertical="center"/>
    </xf>
    <xf numFmtId="0" fontId="7" fillId="7" borderId="2" xfId="0" applyFont="1" applyFill="1" applyBorder="1" applyAlignment="1">
      <alignment horizontal="center" vertical="center"/>
    </xf>
    <xf numFmtId="43" fontId="7" fillId="7" borderId="1" xfId="3" applyFont="1" applyFill="1" applyBorder="1" applyAlignment="1">
      <alignment horizontal="right" vertical="center"/>
    </xf>
    <xf numFmtId="10" fontId="7" fillId="7" borderId="1" xfId="0" applyNumberFormat="1" applyFont="1" applyFill="1" applyBorder="1" applyAlignment="1">
      <alignment horizontal="center" vertical="center"/>
    </xf>
    <xf numFmtId="1" fontId="7" fillId="3" borderId="1" xfId="0" applyNumberFormat="1" applyFont="1" applyFill="1" applyBorder="1" applyAlignment="1">
      <alignment horizontal="center" vertical="center"/>
    </xf>
    <xf numFmtId="0" fontId="15" fillId="4" borderId="1" xfId="0"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4" fontId="14" fillId="5" borderId="1" xfId="0" applyNumberFormat="1" applyFont="1" applyFill="1" applyBorder="1" applyAlignment="1">
      <alignment horizontal="center" vertical="center" wrapText="1"/>
    </xf>
    <xf numFmtId="3" fontId="14" fillId="5" borderId="1" xfId="0" applyNumberFormat="1" applyFont="1" applyFill="1" applyBorder="1" applyAlignment="1">
      <alignment horizontal="center" vertical="center" wrapText="1"/>
    </xf>
    <xf numFmtId="4" fontId="15" fillId="5" borderId="0" xfId="0" applyNumberFormat="1" applyFont="1" applyFill="1" applyAlignment="1">
      <alignment horizontal="center" vertical="center" wrapText="1"/>
    </xf>
    <xf numFmtId="4" fontId="14" fillId="7" borderId="1" xfId="0" applyNumberFormat="1" applyFont="1" applyFill="1" applyBorder="1" applyAlignment="1">
      <alignment horizontal="center" vertical="center" wrapText="1"/>
    </xf>
    <xf numFmtId="3" fontId="14" fillId="7" borderId="1" xfId="0" applyNumberFormat="1" applyFont="1" applyFill="1" applyBorder="1" applyAlignment="1">
      <alignment horizontal="center" vertical="center" wrapText="1"/>
    </xf>
    <xf numFmtId="10" fontId="7" fillId="7" borderId="1" xfId="0" applyNumberFormat="1" applyFont="1" applyFill="1" applyBorder="1" applyAlignment="1">
      <alignment horizontal="right" vertical="center"/>
    </xf>
    <xf numFmtId="10" fontId="7" fillId="7" borderId="1" xfId="2" applyNumberFormat="1" applyFont="1" applyFill="1" applyBorder="1" applyAlignment="1">
      <alignment horizontal="right" vertical="center"/>
    </xf>
    <xf numFmtId="0" fontId="7" fillId="3" borderId="1" xfId="2" applyNumberFormat="1" applyFont="1" applyFill="1" applyBorder="1" applyAlignment="1">
      <alignment horizontal="right" vertical="center"/>
    </xf>
    <xf numFmtId="43" fontId="7" fillId="0" borderId="1" xfId="3" applyFont="1" applyBorder="1" applyAlignment="1">
      <alignment horizontal="center" vertical="center"/>
    </xf>
    <xf numFmtId="0" fontId="7" fillId="5"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166" fontId="14" fillId="0" borderId="1" xfId="3" applyNumberFormat="1" applyFont="1" applyFill="1" applyBorder="1" applyAlignment="1">
      <alignment horizontal="center" vertical="center" wrapText="1"/>
    </xf>
    <xf numFmtId="0" fontId="7" fillId="0" borderId="0" xfId="0" applyFont="1" applyAlignment="1">
      <alignment vertical="center"/>
    </xf>
    <xf numFmtId="8" fontId="7" fillId="0" borderId="0" xfId="0" applyNumberFormat="1" applyFont="1" applyAlignment="1">
      <alignment vertical="center"/>
    </xf>
    <xf numFmtId="8" fontId="6" fillId="2" borderId="1" xfId="0" applyNumberFormat="1" applyFont="1" applyFill="1" applyBorder="1" applyAlignment="1">
      <alignment vertical="center"/>
    </xf>
    <xf numFmtId="2" fontId="7" fillId="7" borderId="1" xfId="0" applyNumberFormat="1" applyFont="1" applyFill="1" applyBorder="1" applyAlignment="1">
      <alignment horizontal="center" vertical="center"/>
    </xf>
    <xf numFmtId="0" fontId="6" fillId="0" borderId="0" xfId="0" applyFont="1" applyAlignment="1">
      <alignment vertical="center"/>
    </xf>
    <xf numFmtId="0" fontId="5" fillId="5" borderId="0" xfId="0" applyFont="1" applyFill="1" applyAlignment="1">
      <alignment vertical="center"/>
    </xf>
    <xf numFmtId="0" fontId="17" fillId="5" borderId="0" xfId="0" applyFont="1" applyFill="1" applyAlignment="1">
      <alignment vertical="center"/>
    </xf>
    <xf numFmtId="0" fontId="18" fillId="5" borderId="0" xfId="0" applyFont="1" applyFill="1" applyAlignment="1">
      <alignment horizontal="center" vertical="center"/>
    </xf>
    <xf numFmtId="0" fontId="6" fillId="5" borderId="0" xfId="0" applyFont="1" applyFill="1" applyAlignment="1">
      <alignment horizontal="left" vertical="center"/>
    </xf>
    <xf numFmtId="0" fontId="7" fillId="5" borderId="0" xfId="0" applyFont="1" applyFill="1" applyAlignment="1">
      <alignment horizontal="center" vertical="center"/>
    </xf>
    <xf numFmtId="0" fontId="8" fillId="5" borderId="0" xfId="0" applyFont="1" applyFill="1" applyAlignment="1">
      <alignment horizontal="left" vertical="center"/>
    </xf>
    <xf numFmtId="0" fontId="7" fillId="5" borderId="9" xfId="0" applyFont="1" applyFill="1" applyBorder="1" applyAlignment="1">
      <alignment vertical="center"/>
    </xf>
    <xf numFmtId="0" fontId="7" fillId="5" borderId="3" xfId="0" applyFont="1" applyFill="1" applyBorder="1" applyAlignment="1">
      <alignment vertical="center"/>
    </xf>
    <xf numFmtId="0" fontId="7" fillId="5" borderId="10" xfId="0" applyFont="1" applyFill="1" applyBorder="1" applyAlignment="1">
      <alignment vertical="center"/>
    </xf>
    <xf numFmtId="43" fontId="7" fillId="5" borderId="1" xfId="3" applyFont="1" applyFill="1" applyBorder="1" applyAlignment="1">
      <alignment vertical="center"/>
    </xf>
    <xf numFmtId="43" fontId="6" fillId="5" borderId="0" xfId="3" applyFont="1" applyFill="1" applyBorder="1" applyAlignment="1">
      <alignment vertical="center"/>
    </xf>
    <xf numFmtId="0" fontId="3" fillId="5" borderId="0" xfId="0" applyFont="1" applyFill="1" applyAlignment="1">
      <alignment vertical="center"/>
    </xf>
    <xf numFmtId="0" fontId="16" fillId="5" borderId="14"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18" xfId="0" applyFont="1" applyFill="1" applyBorder="1" applyAlignment="1">
      <alignment horizontal="left" vertical="center" wrapText="1"/>
    </xf>
    <xf numFmtId="10" fontId="6" fillId="5" borderId="0" xfId="0" applyNumberFormat="1" applyFont="1" applyFill="1" applyAlignment="1">
      <alignment horizontal="center" vertical="center"/>
    </xf>
    <xf numFmtId="2" fontId="6" fillId="5" borderId="0" xfId="0" applyNumberFormat="1" applyFont="1" applyFill="1" applyAlignment="1">
      <alignment vertical="center"/>
    </xf>
    <xf numFmtId="0" fontId="4" fillId="5" borderId="0" xfId="0" applyFont="1" applyFill="1" applyAlignment="1">
      <alignment vertical="center"/>
    </xf>
    <xf numFmtId="0" fontId="7" fillId="0" borderId="11" xfId="0" applyFont="1" applyBorder="1" applyAlignment="1">
      <alignment vertical="center"/>
    </xf>
    <xf numFmtId="0" fontId="6" fillId="3" borderId="10" xfId="0" applyFont="1" applyFill="1" applyBorder="1" applyAlignment="1">
      <alignment vertical="center"/>
    </xf>
    <xf numFmtId="0" fontId="7" fillId="0" borderId="1" xfId="0" applyFont="1" applyBorder="1" applyAlignment="1">
      <alignment vertical="center"/>
    </xf>
    <xf numFmtId="0" fontId="6" fillId="0" borderId="9" xfId="0" applyFont="1" applyBorder="1" applyAlignment="1">
      <alignment vertical="center"/>
    </xf>
    <xf numFmtId="0" fontId="7" fillId="0" borderId="9" xfId="0" applyFont="1" applyBorder="1" applyAlignment="1">
      <alignment vertical="center" wrapText="1"/>
    </xf>
    <xf numFmtId="0" fontId="14" fillId="0" borderId="1" xfId="0" applyFont="1" applyBorder="1" applyAlignment="1">
      <alignment vertical="center" wrapText="1"/>
    </xf>
    <xf numFmtId="43" fontId="6" fillId="0" borderId="1" xfId="3" applyFont="1" applyFill="1" applyBorder="1" applyAlignment="1">
      <alignment horizontal="center" vertical="center"/>
    </xf>
    <xf numFmtId="0" fontId="6" fillId="3" borderId="9" xfId="0" applyFont="1" applyFill="1" applyBorder="1" applyAlignment="1">
      <alignment horizontal="center" vertical="center"/>
    </xf>
    <xf numFmtId="0" fontId="6" fillId="3" borderId="3" xfId="0" applyFont="1" applyFill="1" applyBorder="1" applyAlignment="1">
      <alignment horizontal="center" vertical="center"/>
    </xf>
    <xf numFmtId="0" fontId="15" fillId="2" borderId="1" xfId="0" applyFont="1" applyFill="1" applyBorder="1" applyAlignment="1">
      <alignment horizontal="center" vertical="center"/>
    </xf>
    <xf numFmtId="0" fontId="6" fillId="0" borderId="9" xfId="0" applyFont="1" applyBorder="1" applyAlignment="1">
      <alignment horizontal="center" vertical="center"/>
    </xf>
    <xf numFmtId="0" fontId="19" fillId="5" borderId="0" xfId="0" applyFont="1" applyFill="1" applyAlignment="1">
      <alignment horizontal="left" vertical="center"/>
    </xf>
    <xf numFmtId="0" fontId="7" fillId="0" borderId="9" xfId="0" applyFont="1" applyBorder="1" applyAlignment="1">
      <alignment vertical="center"/>
    </xf>
    <xf numFmtId="0" fontId="7" fillId="0" borderId="3" xfId="0" applyFont="1" applyBorder="1" applyAlignment="1">
      <alignment vertical="center"/>
    </xf>
    <xf numFmtId="0" fontId="6" fillId="3" borderId="1" xfId="0" applyFont="1" applyFill="1" applyBorder="1" applyAlignment="1">
      <alignment horizontal="center" vertical="center"/>
    </xf>
    <xf numFmtId="0" fontId="21" fillId="5" borderId="0" xfId="0" applyFont="1" applyFill="1" applyAlignment="1">
      <alignment horizontal="left" vertical="center"/>
    </xf>
    <xf numFmtId="0" fontId="6" fillId="5" borderId="12"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0" xfId="0" applyFont="1" applyFill="1" applyAlignment="1">
      <alignment horizontal="center" vertical="center"/>
    </xf>
    <xf numFmtId="0" fontId="6" fillId="0" borderId="0" xfId="0" applyFont="1" applyAlignment="1">
      <alignment horizontal="center" vertical="center"/>
    </xf>
    <xf numFmtId="0" fontId="9" fillId="5" borderId="0" xfId="0" applyFont="1" applyFill="1" applyAlignment="1">
      <alignment horizontal="center" vertical="center"/>
    </xf>
    <xf numFmtId="43" fontId="7" fillId="0" borderId="0" xfId="3" applyFont="1" applyBorder="1" applyAlignment="1">
      <alignment vertical="center"/>
    </xf>
    <xf numFmtId="43" fontId="7" fillId="5" borderId="0" xfId="3" applyFont="1" applyFill="1" applyBorder="1" applyAlignment="1">
      <alignment vertical="center"/>
    </xf>
    <xf numFmtId="43" fontId="7" fillId="0" borderId="0" xfId="3" applyFont="1" applyBorder="1" applyAlignment="1">
      <alignment horizontal="center" vertical="center"/>
    </xf>
    <xf numFmtId="43" fontId="7" fillId="0" borderId="0" xfId="0" applyNumberFormat="1" applyFont="1" applyAlignment="1">
      <alignment vertical="center"/>
    </xf>
    <xf numFmtId="43" fontId="7" fillId="0" borderId="0" xfId="3" applyFont="1" applyFill="1" applyBorder="1" applyAlignment="1">
      <alignment vertical="center"/>
    </xf>
    <xf numFmtId="0" fontId="6" fillId="5" borderId="0" xfId="0" applyFont="1" applyFill="1" applyAlignment="1">
      <alignment horizontal="center" vertical="center" wrapText="1"/>
    </xf>
    <xf numFmtId="43" fontId="7" fillId="0" borderId="0" xfId="3" applyFont="1" applyFill="1" applyBorder="1" applyAlignment="1">
      <alignment horizontal="center" vertical="center"/>
    </xf>
    <xf numFmtId="165" fontId="14" fillId="5" borderId="0" xfId="0" applyNumberFormat="1" applyFont="1" applyFill="1" applyAlignment="1">
      <alignment vertical="center"/>
    </xf>
    <xf numFmtId="165" fontId="11" fillId="0" borderId="0" xfId="1" applyNumberFormat="1" applyFont="1" applyBorder="1" applyAlignment="1">
      <alignment horizontal="right" vertical="center" wrapText="1"/>
    </xf>
    <xf numFmtId="0" fontId="11" fillId="0" borderId="0" xfId="0" applyFont="1" applyAlignment="1">
      <alignment horizontal="left" vertical="center" wrapText="1"/>
    </xf>
    <xf numFmtId="0" fontId="0" fillId="0" borderId="0" xfId="0" applyAlignment="1">
      <alignment vertical="center"/>
    </xf>
    <xf numFmtId="165" fontId="14" fillId="0" borderId="1" xfId="0" applyNumberFormat="1" applyFont="1" applyBorder="1" applyAlignment="1">
      <alignment vertical="center"/>
    </xf>
    <xf numFmtId="165" fontId="14" fillId="0" borderId="0" xfId="0" applyNumberFormat="1" applyFont="1" applyAlignment="1">
      <alignment vertical="center"/>
    </xf>
    <xf numFmtId="0" fontId="19" fillId="0" borderId="0" xfId="0" applyFont="1" applyAlignment="1">
      <alignment horizontal="left" vertical="center"/>
    </xf>
    <xf numFmtId="0" fontId="15" fillId="0" borderId="0" xfId="0" applyFont="1" applyAlignment="1">
      <alignment horizontal="center" vertical="center"/>
    </xf>
    <xf numFmtId="0" fontId="6" fillId="0" borderId="0" xfId="0" applyFont="1" applyAlignment="1">
      <alignment horizontal="center" vertical="center" wrapText="1"/>
    </xf>
    <xf numFmtId="43" fontId="7" fillId="0" borderId="0" xfId="3" applyFont="1" applyFill="1" applyBorder="1" applyAlignment="1">
      <alignment horizontal="right" vertical="center"/>
    </xf>
    <xf numFmtId="164" fontId="6" fillId="0" borderId="0" xfId="1" applyFont="1" applyFill="1" applyBorder="1" applyAlignment="1">
      <alignment vertical="center"/>
    </xf>
    <xf numFmtId="165" fontId="15" fillId="0" borderId="0" xfId="0" applyNumberFormat="1" applyFont="1" applyAlignment="1">
      <alignment vertical="center"/>
    </xf>
    <xf numFmtId="43" fontId="6" fillId="0" borderId="0" xfId="0" applyNumberFormat="1" applyFont="1" applyAlignment="1">
      <alignment horizontal="center" vertical="center"/>
    </xf>
    <xf numFmtId="0" fontId="6" fillId="8" borderId="1" xfId="0" applyFont="1" applyFill="1" applyBorder="1" applyAlignment="1">
      <alignment horizontal="center" vertical="center"/>
    </xf>
    <xf numFmtId="0" fontId="7" fillId="8" borderId="3" xfId="0" applyFont="1" applyFill="1" applyBorder="1" applyAlignment="1">
      <alignment vertical="center"/>
    </xf>
    <xf numFmtId="10" fontId="7" fillId="8" borderId="1" xfId="2" applyNumberFormat="1" applyFont="1" applyFill="1" applyBorder="1" applyAlignment="1">
      <alignment horizontal="center" vertical="center"/>
    </xf>
    <xf numFmtId="43" fontId="7" fillId="8" borderId="1" xfId="3" applyFont="1" applyFill="1" applyBorder="1" applyAlignment="1">
      <alignment vertical="center"/>
    </xf>
    <xf numFmtId="43" fontId="11" fillId="5" borderId="0" xfId="3" applyFont="1" applyFill="1" applyBorder="1" applyAlignment="1">
      <alignment vertical="center"/>
    </xf>
    <xf numFmtId="0" fontId="6" fillId="8" borderId="13" xfId="0" applyFont="1" applyFill="1" applyBorder="1" applyAlignment="1">
      <alignment horizontal="center" vertical="center"/>
    </xf>
    <xf numFmtId="10" fontId="7" fillId="8" borderId="1" xfId="2" applyNumberFormat="1" applyFont="1" applyFill="1" applyBorder="1" applyAlignment="1">
      <alignment vertical="center"/>
    </xf>
    <xf numFmtId="0" fontId="11" fillId="0" borderId="0" xfId="0" applyFont="1" applyAlignment="1">
      <alignment horizontal="center" vertical="center"/>
    </xf>
    <xf numFmtId="0" fontId="7" fillId="0" borderId="0" xfId="0" applyFont="1" applyAlignment="1">
      <alignment horizontal="center" vertical="center"/>
    </xf>
    <xf numFmtId="0" fontId="6" fillId="3" borderId="10" xfId="0" applyFont="1" applyFill="1" applyBorder="1" applyAlignment="1">
      <alignment horizontal="center" vertical="center"/>
    </xf>
    <xf numFmtId="0" fontId="6" fillId="0" borderId="2" xfId="0" applyFont="1" applyBorder="1" applyAlignment="1">
      <alignment horizontal="center" vertical="center"/>
    </xf>
    <xf numFmtId="0" fontId="19" fillId="0" borderId="1" xfId="0" applyFont="1" applyBorder="1" applyAlignment="1">
      <alignment vertical="center" wrapText="1"/>
    </xf>
    <xf numFmtId="165" fontId="27" fillId="0" borderId="1" xfId="1" applyNumberFormat="1" applyFont="1" applyBorder="1" applyAlignment="1">
      <alignment horizontal="right" vertical="center" wrapText="1"/>
    </xf>
    <xf numFmtId="0" fontId="15" fillId="0" borderId="0" xfId="0" applyFont="1" applyAlignment="1">
      <alignment horizontal="center" vertical="center" wrapText="1"/>
    </xf>
    <xf numFmtId="0" fontId="14" fillId="0" borderId="0" xfId="0" applyFont="1" applyAlignment="1">
      <alignment horizontal="center" vertical="center" wrapText="1"/>
    </xf>
    <xf numFmtId="4" fontId="14" fillId="0" borderId="0" xfId="0" applyNumberFormat="1" applyFont="1" applyAlignment="1">
      <alignment horizontal="center" vertical="center" wrapText="1"/>
    </xf>
    <xf numFmtId="0" fontId="12" fillId="0" borderId="0" xfId="0" applyFont="1" applyAlignment="1">
      <alignment vertical="center" wrapText="1"/>
    </xf>
    <xf numFmtId="0" fontId="14" fillId="0" borderId="1" xfId="0" applyFont="1" applyBorder="1" applyAlignment="1">
      <alignment horizontal="left" vertical="center" wrapText="1"/>
    </xf>
    <xf numFmtId="3" fontId="14" fillId="0" borderId="1" xfId="0" applyNumberFormat="1" applyFont="1" applyBorder="1" applyAlignment="1">
      <alignment horizontal="center" vertical="center" wrapText="1"/>
    </xf>
    <xf numFmtId="0" fontId="6" fillId="0" borderId="1" xfId="0" applyFont="1" applyBorder="1" applyAlignment="1">
      <alignment vertical="center"/>
    </xf>
    <xf numFmtId="0" fontId="16" fillId="5" borderId="0" xfId="0" applyFont="1" applyFill="1" applyAlignment="1">
      <alignment vertical="center"/>
    </xf>
    <xf numFmtId="0" fontId="27" fillId="0" borderId="11" xfId="0" applyFont="1" applyBorder="1" applyAlignment="1">
      <alignment vertical="center" wrapText="1"/>
    </xf>
    <xf numFmtId="0" fontId="6" fillId="3" borderId="2" xfId="0" applyFont="1" applyFill="1" applyBorder="1" applyAlignment="1">
      <alignment horizontal="center" vertical="center"/>
    </xf>
    <xf numFmtId="0" fontId="6" fillId="2" borderId="9" xfId="0" applyFont="1" applyFill="1" applyBorder="1" applyAlignment="1">
      <alignment vertical="center"/>
    </xf>
    <xf numFmtId="0" fontId="6" fillId="2" borderId="10" xfId="0" applyFont="1" applyFill="1" applyBorder="1" applyAlignment="1">
      <alignment vertical="center"/>
    </xf>
    <xf numFmtId="0" fontId="8" fillId="9" borderId="1" xfId="0" applyFont="1" applyFill="1" applyBorder="1" applyAlignment="1">
      <alignment horizontal="center" vertical="center"/>
    </xf>
    <xf numFmtId="0" fontId="6" fillId="5" borderId="8" xfId="0" applyFont="1" applyFill="1" applyBorder="1" applyAlignment="1">
      <alignment vertical="center" wrapText="1"/>
    </xf>
    <xf numFmtId="0" fontId="6" fillId="5" borderId="16" xfId="0" applyFont="1" applyFill="1" applyBorder="1" applyAlignment="1">
      <alignment vertical="center" wrapText="1"/>
    </xf>
    <xf numFmtId="10" fontId="7" fillId="0" borderId="2" xfId="0" applyNumberFormat="1" applyFont="1" applyBorder="1" applyAlignment="1">
      <alignment horizontal="center" vertical="center"/>
    </xf>
    <xf numFmtId="43" fontId="7" fillId="0" borderId="2" xfId="3" applyFont="1" applyFill="1" applyBorder="1" applyAlignment="1">
      <alignment vertical="center"/>
    </xf>
    <xf numFmtId="0" fontId="6" fillId="5" borderId="0" xfId="0" applyFont="1" applyFill="1" applyAlignment="1">
      <alignment vertical="center"/>
    </xf>
    <xf numFmtId="0" fontId="6" fillId="0" borderId="8" xfId="0" applyFont="1" applyBorder="1" applyAlignment="1">
      <alignment vertical="center"/>
    </xf>
    <xf numFmtId="0" fontId="6" fillId="0" borderId="16" xfId="0" applyFont="1" applyBorder="1" applyAlignment="1">
      <alignment vertical="center"/>
    </xf>
    <xf numFmtId="0" fontId="6" fillId="5" borderId="8" xfId="0" applyFont="1" applyFill="1" applyBorder="1" applyAlignment="1">
      <alignment vertical="center"/>
    </xf>
    <xf numFmtId="0" fontId="6" fillId="5" borderId="16" xfId="0" applyFont="1" applyFill="1" applyBorder="1" applyAlignment="1">
      <alignment vertical="center"/>
    </xf>
    <xf numFmtId="0" fontId="13" fillId="5" borderId="9" xfId="0" applyFont="1" applyFill="1" applyBorder="1" applyAlignment="1">
      <alignment vertical="center"/>
    </xf>
    <xf numFmtId="0" fontId="13" fillId="5" borderId="3" xfId="0" applyFont="1" applyFill="1" applyBorder="1" applyAlignment="1">
      <alignment vertical="center"/>
    </xf>
    <xf numFmtId="0" fontId="13" fillId="5" borderId="10" xfId="0" applyFont="1" applyFill="1" applyBorder="1" applyAlignment="1">
      <alignment vertical="center"/>
    </xf>
    <xf numFmtId="0" fontId="13" fillId="0" borderId="10" xfId="0" applyFont="1" applyBorder="1" applyAlignment="1">
      <alignment vertical="center"/>
    </xf>
    <xf numFmtId="0" fontId="6" fillId="3" borderId="2" xfId="0" applyFont="1" applyFill="1" applyBorder="1" applyAlignment="1">
      <alignment vertical="center"/>
    </xf>
    <xf numFmtId="0" fontId="6" fillId="3" borderId="16" xfId="0" applyFont="1" applyFill="1" applyBorder="1" applyAlignment="1">
      <alignment vertical="center" wrapText="1"/>
    </xf>
    <xf numFmtId="0" fontId="6" fillId="2" borderId="3" xfId="0" applyFont="1" applyFill="1" applyBorder="1" applyAlignment="1">
      <alignment vertical="center"/>
    </xf>
    <xf numFmtId="0" fontId="14" fillId="5" borderId="2" xfId="0" applyFont="1" applyFill="1" applyBorder="1" applyAlignment="1">
      <alignment vertical="center" wrapText="1"/>
    </xf>
    <xf numFmtId="0" fontId="13" fillId="5" borderId="16" xfId="0" applyFont="1" applyFill="1" applyBorder="1" applyAlignment="1">
      <alignment vertical="center"/>
    </xf>
    <xf numFmtId="165" fontId="14" fillId="5" borderId="2" xfId="0" applyNumberFormat="1" applyFont="1" applyFill="1" applyBorder="1" applyAlignment="1">
      <alignment vertical="center"/>
    </xf>
    <xf numFmtId="0" fontId="25" fillId="2" borderId="10" xfId="0" applyFont="1" applyFill="1" applyBorder="1" applyAlignment="1">
      <alignment vertical="center"/>
    </xf>
    <xf numFmtId="0" fontId="21" fillId="3" borderId="3" xfId="0" applyFont="1" applyFill="1" applyBorder="1" applyAlignment="1">
      <alignment vertical="center"/>
    </xf>
    <xf numFmtId="0" fontId="21" fillId="3" borderId="10" xfId="0" applyFont="1" applyFill="1" applyBorder="1" applyAlignment="1">
      <alignment vertical="center"/>
    </xf>
    <xf numFmtId="0" fontId="6" fillId="5" borderId="18" xfId="0" applyFont="1" applyFill="1" applyBorder="1" applyAlignment="1">
      <alignment horizontal="center" vertical="center"/>
    </xf>
    <xf numFmtId="0" fontId="16" fillId="0" borderId="9" xfId="0" applyFont="1" applyBorder="1" applyAlignment="1">
      <alignment vertical="center"/>
    </xf>
    <xf numFmtId="0" fontId="16" fillId="0" borderId="3" xfId="0" applyFont="1" applyBorder="1" applyAlignment="1">
      <alignment vertical="center"/>
    </xf>
    <xf numFmtId="0" fontId="16" fillId="0" borderId="10" xfId="0" applyFont="1" applyBorder="1" applyAlignment="1">
      <alignment vertical="center"/>
    </xf>
    <xf numFmtId="0" fontId="16" fillId="0" borderId="9" xfId="0" applyFont="1" applyBorder="1" applyAlignment="1">
      <alignment vertical="center" wrapText="1"/>
    </xf>
    <xf numFmtId="0" fontId="16" fillId="0" borderId="3" xfId="0" applyFont="1" applyBorder="1" applyAlignment="1">
      <alignment vertical="center" wrapText="1"/>
    </xf>
    <xf numFmtId="0" fontId="16" fillId="0" borderId="10" xfId="0" applyFont="1" applyBorder="1" applyAlignment="1">
      <alignment vertical="center" wrapText="1"/>
    </xf>
    <xf numFmtId="0" fontId="21" fillId="0" borderId="9" xfId="0" applyFont="1" applyBorder="1" applyAlignment="1">
      <alignment vertical="center"/>
    </xf>
    <xf numFmtId="0" fontId="21" fillId="0" borderId="3" xfId="0" applyFont="1" applyBorder="1" applyAlignment="1">
      <alignment vertical="center"/>
    </xf>
    <xf numFmtId="0" fontId="21" fillId="0" borderId="10" xfId="0" applyFont="1" applyBorder="1" applyAlignment="1">
      <alignment vertical="center"/>
    </xf>
    <xf numFmtId="0" fontId="21" fillId="3" borderId="9" xfId="0" applyFont="1" applyFill="1" applyBorder="1" applyAlignment="1">
      <alignment vertical="center"/>
    </xf>
    <xf numFmtId="4" fontId="16" fillId="8" borderId="1" xfId="0" applyNumberFormat="1" applyFont="1" applyFill="1" applyBorder="1" applyAlignment="1">
      <alignment vertical="center"/>
    </xf>
    <xf numFmtId="0" fontId="16" fillId="8" borderId="1" xfId="0" applyFont="1" applyFill="1" applyBorder="1" applyAlignment="1">
      <alignment vertical="center"/>
    </xf>
    <xf numFmtId="10" fontId="7" fillId="3" borderId="1" xfId="0" applyNumberFormat="1" applyFont="1" applyFill="1" applyBorder="1" applyAlignment="1">
      <alignment horizontal="center" vertical="center"/>
    </xf>
    <xf numFmtId="43" fontId="11" fillId="0" borderId="0" xfId="3" applyFont="1" applyFill="1" applyBorder="1" applyAlignment="1">
      <alignment vertical="center"/>
    </xf>
    <xf numFmtId="0" fontId="5" fillId="3" borderId="1" xfId="0" applyFont="1" applyFill="1" applyBorder="1" applyAlignment="1">
      <alignment vertical="center"/>
    </xf>
    <xf numFmtId="0" fontId="5" fillId="3" borderId="0" xfId="0" applyFont="1" applyFill="1" applyAlignment="1">
      <alignment vertical="center"/>
    </xf>
    <xf numFmtId="7" fontId="7" fillId="0" borderId="1" xfId="3" applyNumberFormat="1" applyFont="1" applyFill="1" applyBorder="1" applyAlignment="1">
      <alignment horizontal="center" vertical="center"/>
    </xf>
    <xf numFmtId="167" fontId="7" fillId="3" borderId="1" xfId="3" applyNumberFormat="1" applyFont="1" applyFill="1" applyBorder="1" applyAlignment="1">
      <alignment vertical="center"/>
    </xf>
    <xf numFmtId="43" fontId="7" fillId="3" borderId="1" xfId="3" applyFont="1" applyFill="1" applyBorder="1" applyAlignment="1">
      <alignment vertical="center"/>
    </xf>
    <xf numFmtId="0" fontId="3" fillId="3" borderId="1" xfId="0" applyFont="1" applyFill="1" applyBorder="1" applyAlignment="1">
      <alignment vertical="center"/>
    </xf>
    <xf numFmtId="0" fontId="3" fillId="3" borderId="10" xfId="0" applyFont="1" applyFill="1" applyBorder="1" applyAlignment="1">
      <alignment vertical="center"/>
    </xf>
    <xf numFmtId="0" fontId="16" fillId="0" borderId="16" xfId="0" applyFont="1" applyBorder="1" applyAlignment="1">
      <alignment vertical="center"/>
    </xf>
    <xf numFmtId="43" fontId="6" fillId="0" borderId="0" xfId="3" applyFont="1" applyFill="1" applyBorder="1" applyAlignment="1">
      <alignment horizontal="center" vertical="center"/>
    </xf>
    <xf numFmtId="2" fontId="14" fillId="0" borderId="1" xfId="0" applyNumberFormat="1" applyFont="1" applyBorder="1" applyAlignment="1">
      <alignment horizontal="center" vertical="center" wrapText="1"/>
    </xf>
    <xf numFmtId="0" fontId="14" fillId="0" borderId="0" xfId="0" applyFont="1" applyAlignment="1">
      <alignment horizontal="left" vertical="center" wrapText="1"/>
    </xf>
    <xf numFmtId="3" fontId="14" fillId="0" borderId="0" xfId="0" applyNumberFormat="1" applyFont="1" applyAlignment="1">
      <alignment horizontal="center" vertical="center" wrapText="1"/>
    </xf>
    <xf numFmtId="0" fontId="17" fillId="0" borderId="9" xfId="0" applyFont="1" applyBorder="1" applyAlignment="1">
      <alignment vertical="center"/>
    </xf>
    <xf numFmtId="0" fontId="7" fillId="0" borderId="1" xfId="0" applyFont="1" applyBorder="1" applyAlignment="1">
      <alignment vertical="center" wrapText="1"/>
    </xf>
    <xf numFmtId="0" fontId="7" fillId="0" borderId="0" xfId="0" applyFont="1" applyAlignment="1">
      <alignment horizontal="left" vertical="center" wrapText="1"/>
    </xf>
    <xf numFmtId="0" fontId="24" fillId="3" borderId="6" xfId="0" applyFont="1" applyFill="1" applyBorder="1" applyAlignment="1">
      <alignment horizontal="center" vertical="center"/>
    </xf>
    <xf numFmtId="0" fontId="24" fillId="3" borderId="5" xfId="0" applyFont="1" applyFill="1" applyBorder="1" applyAlignment="1">
      <alignment horizontal="center" vertical="center"/>
    </xf>
    <xf numFmtId="0" fontId="24" fillId="3" borderId="4"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5" borderId="0" xfId="0" applyFont="1" applyFill="1" applyAlignment="1">
      <alignment horizontal="center" vertical="center"/>
    </xf>
    <xf numFmtId="0" fontId="9" fillId="5" borderId="0" xfId="0" applyFont="1" applyFill="1" applyAlignment="1">
      <alignment horizontal="center" vertical="center"/>
    </xf>
    <xf numFmtId="0" fontId="14" fillId="4" borderId="1" xfId="0" applyFont="1" applyFill="1" applyBorder="1" applyAlignment="1">
      <alignment horizontal="center" vertical="center"/>
    </xf>
    <xf numFmtId="0" fontId="6" fillId="3" borderId="3" xfId="0"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6" fillId="0" borderId="9" xfId="0" applyFont="1" applyBorder="1" applyAlignment="1">
      <alignment horizontal="left" vertical="center"/>
    </xf>
    <xf numFmtId="0" fontId="16" fillId="0" borderId="3" xfId="0" applyFont="1" applyBorder="1" applyAlignment="1">
      <alignment horizontal="left" vertical="center"/>
    </xf>
    <xf numFmtId="0" fontId="16" fillId="0" borderId="10" xfId="0" applyFont="1" applyBorder="1" applyAlignment="1">
      <alignment horizontal="left" vertical="center"/>
    </xf>
    <xf numFmtId="0" fontId="15" fillId="2" borderId="1" xfId="0" applyFont="1" applyFill="1" applyBorder="1" applyAlignment="1">
      <alignment horizontal="center" vertical="center"/>
    </xf>
    <xf numFmtId="0" fontId="14" fillId="4" borderId="1" xfId="0" applyFont="1" applyFill="1" applyBorder="1" applyAlignment="1">
      <alignment horizontal="left" vertical="center"/>
    </xf>
    <xf numFmtId="0" fontId="14" fillId="7" borderId="1" xfId="0" applyFont="1" applyFill="1" applyBorder="1" applyAlignment="1">
      <alignment horizontal="left" vertical="center"/>
    </xf>
    <xf numFmtId="16" fontId="14" fillId="7" borderId="1" xfId="0" applyNumberFormat="1" applyFont="1" applyFill="1" applyBorder="1" applyAlignment="1">
      <alignment horizontal="left" vertical="center"/>
    </xf>
    <xf numFmtId="167" fontId="14" fillId="7" borderId="1" xfId="0" applyNumberFormat="1" applyFont="1" applyFill="1" applyBorder="1" applyAlignment="1">
      <alignment horizontal="left" vertical="center"/>
    </xf>
    <xf numFmtId="0" fontId="6" fillId="2" borderId="1" xfId="0" applyFont="1" applyFill="1" applyBorder="1" applyAlignment="1">
      <alignment horizontal="center" vertical="center"/>
    </xf>
    <xf numFmtId="0" fontId="16" fillId="8" borderId="9" xfId="0" applyFont="1" applyFill="1" applyBorder="1" applyAlignment="1">
      <alignment horizontal="left" vertical="center"/>
    </xf>
    <xf numFmtId="0" fontId="16" fillId="8" borderId="3" xfId="0" applyFont="1" applyFill="1" applyBorder="1" applyAlignment="1">
      <alignment horizontal="left" vertical="center"/>
    </xf>
    <xf numFmtId="0" fontId="16" fillId="8" borderId="10" xfId="0" applyFont="1" applyFill="1" applyBorder="1" applyAlignment="1">
      <alignment horizontal="left" vertical="center"/>
    </xf>
    <xf numFmtId="0" fontId="6" fillId="2" borderId="9"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 xfId="0" applyFont="1" applyBorder="1" applyAlignment="1">
      <alignment horizontal="center" vertical="center"/>
    </xf>
    <xf numFmtId="0" fontId="7" fillId="0" borderId="11" xfId="0" applyFont="1" applyBorder="1" applyAlignment="1">
      <alignment horizontal="left" vertical="center"/>
    </xf>
    <xf numFmtId="0" fontId="7" fillId="0" borderId="7" xfId="0" applyFont="1" applyBorder="1" applyAlignment="1">
      <alignment horizontal="left" vertical="center"/>
    </xf>
    <xf numFmtId="0" fontId="16" fillId="0" borderId="1" xfId="0" applyFont="1" applyBorder="1" applyAlignment="1">
      <alignment horizontal="left" vertical="center" wrapText="1"/>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6" xfId="0" applyFont="1" applyFill="1" applyBorder="1" applyAlignment="1">
      <alignment horizontal="center" vertical="center"/>
    </xf>
    <xf numFmtId="0" fontId="6" fillId="5" borderId="11"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15" xfId="0" applyFont="1" applyFill="1" applyBorder="1" applyAlignment="1">
      <alignment horizontal="center" vertical="center"/>
    </xf>
    <xf numFmtId="10" fontId="7" fillId="0" borderId="15" xfId="0" applyNumberFormat="1" applyFont="1" applyBorder="1" applyAlignment="1">
      <alignment horizontal="center" vertical="center"/>
    </xf>
    <xf numFmtId="10" fontId="7" fillId="0" borderId="16" xfId="0" applyNumberFormat="1" applyFont="1" applyBorder="1" applyAlignment="1">
      <alignment horizontal="center" vertical="center"/>
    </xf>
    <xf numFmtId="43" fontId="7" fillId="0" borderId="1" xfId="3" applyFont="1" applyFill="1" applyBorder="1" applyAlignment="1">
      <alignment horizontal="center" vertical="center"/>
    </xf>
    <xf numFmtId="0" fontId="6" fillId="5" borderId="9"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3" borderId="15" xfId="0" applyFont="1" applyFill="1" applyBorder="1" applyAlignment="1">
      <alignment horizontal="center" vertical="center"/>
    </xf>
    <xf numFmtId="0" fontId="6" fillId="2" borderId="10"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26" fillId="0" borderId="3" xfId="0" applyFont="1" applyBorder="1" applyAlignment="1">
      <alignment horizontal="left" vertical="center"/>
    </xf>
    <xf numFmtId="0" fontId="6" fillId="3" borderId="9" xfId="0" applyFont="1" applyFill="1" applyBorder="1" applyAlignment="1">
      <alignment horizontal="left" vertical="center"/>
    </xf>
    <xf numFmtId="0" fontId="6" fillId="3" borderId="3" xfId="0" applyFont="1" applyFill="1" applyBorder="1" applyAlignment="1">
      <alignment horizontal="left" vertical="center"/>
    </xf>
    <xf numFmtId="0" fontId="6" fillId="3" borderId="10" xfId="0" applyFont="1" applyFill="1" applyBorder="1" applyAlignment="1">
      <alignment horizontal="left" vertical="center"/>
    </xf>
    <xf numFmtId="0" fontId="19" fillId="5" borderId="0" xfId="0" applyFont="1" applyFill="1" applyAlignment="1">
      <alignment horizontal="left" vertical="center"/>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21" fillId="3" borderId="3" xfId="0" applyFont="1" applyFill="1" applyBorder="1" applyAlignment="1">
      <alignment horizontal="left" vertical="center"/>
    </xf>
    <xf numFmtId="0" fontId="13" fillId="0" borderId="9" xfId="0" applyFont="1" applyBorder="1" applyAlignment="1">
      <alignment horizontal="left" vertical="center" wrapText="1"/>
    </xf>
    <xf numFmtId="0" fontId="13" fillId="0" borderId="3" xfId="0" applyFont="1" applyBorder="1" applyAlignment="1">
      <alignment horizontal="left" vertical="center" wrapText="1"/>
    </xf>
    <xf numFmtId="0" fontId="13" fillId="0" borderId="10" xfId="0" applyFont="1" applyBorder="1" applyAlignment="1">
      <alignment horizontal="left" vertical="center" wrapText="1"/>
    </xf>
    <xf numFmtId="0" fontId="27" fillId="0" borderId="9"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10" xfId="0" applyFont="1" applyBorder="1" applyAlignment="1">
      <alignment horizontal="center" vertical="center" wrapText="1"/>
    </xf>
    <xf numFmtId="0" fontId="15" fillId="2" borderId="9" xfId="0" applyFont="1" applyFill="1" applyBorder="1" applyAlignment="1">
      <alignment horizontal="center" vertical="center"/>
    </xf>
    <xf numFmtId="0" fontId="15" fillId="2" borderId="3" xfId="0" applyFont="1" applyFill="1" applyBorder="1" applyAlignment="1">
      <alignment horizontal="center"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13" fillId="5" borderId="9" xfId="0" applyFont="1" applyFill="1" applyBorder="1" applyAlignment="1">
      <alignment horizontal="left" vertical="center"/>
    </xf>
    <xf numFmtId="0" fontId="13" fillId="5" borderId="3" xfId="0" applyFont="1" applyFill="1" applyBorder="1" applyAlignment="1">
      <alignment horizontal="left" vertical="center"/>
    </xf>
    <xf numFmtId="0" fontId="25" fillId="2" borderId="9" xfId="0" applyFont="1" applyFill="1" applyBorder="1" applyAlignment="1">
      <alignment horizontal="left" vertical="center"/>
    </xf>
    <xf numFmtId="0" fontId="25" fillId="2" borderId="3" xfId="0" applyFont="1" applyFill="1" applyBorder="1" applyAlignment="1">
      <alignment horizontal="left" vertical="center"/>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1" xfId="0" applyFont="1" applyFill="1" applyBorder="1" applyAlignment="1">
      <alignment horizontal="center" vertical="center" wrapText="1"/>
    </xf>
  </cellXfs>
  <cellStyles count="14">
    <cellStyle name="Moeda" xfId="1" builtinId="4"/>
    <cellStyle name="Moeda 2" xfId="6" xr:uid="{00000000-0005-0000-0000-000001000000}"/>
    <cellStyle name="Moeda 3" xfId="11" xr:uid="{00000000-0005-0000-0000-000002000000}"/>
    <cellStyle name="Normal" xfId="0" builtinId="0"/>
    <cellStyle name="Normal 2" xfId="5" xr:uid="{00000000-0005-0000-0000-000004000000}"/>
    <cellStyle name="Normal 3" xfId="4" xr:uid="{00000000-0005-0000-0000-000005000000}"/>
    <cellStyle name="Normal 4" xfId="12" xr:uid="{00000000-0005-0000-0000-000006000000}"/>
    <cellStyle name="Porcentagem" xfId="2" builtinId="5"/>
    <cellStyle name="Porcentagem 2" xfId="7" xr:uid="{00000000-0005-0000-0000-000008000000}"/>
    <cellStyle name="Porcentagem 3" xfId="10" xr:uid="{00000000-0005-0000-0000-000009000000}"/>
    <cellStyle name="Vírgula" xfId="3" builtinId="3"/>
    <cellStyle name="Vírgula 2" xfId="8" xr:uid="{00000000-0005-0000-0000-00000B000000}"/>
    <cellStyle name="Vírgula 3" xfId="9" xr:uid="{00000000-0005-0000-0000-00000C000000}"/>
    <cellStyle name="Vírgula 4" xfId="13" xr:uid="{00000000-0005-0000-0000-00000D000000}"/>
  </cellStyles>
  <dxfs count="0"/>
  <tableStyles count="0" defaultTableStyle="TableStyleMedium9" defaultPivotStyle="PivotStyleLight16"/>
  <colors>
    <mruColors>
      <color rgb="FFFFFF99"/>
      <color rgb="FF00CC00"/>
      <color rgb="FF33C3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1:J28"/>
  <sheetViews>
    <sheetView showGridLines="0" tabSelected="1" zoomScaleNormal="100" workbookViewId="0">
      <selection activeCell="B3" sqref="B3"/>
    </sheetView>
  </sheetViews>
  <sheetFormatPr defaultColWidth="9.140625" defaultRowHeight="22.5" customHeight="1" x14ac:dyDescent="0.2"/>
  <cols>
    <col min="1" max="1" width="3.28515625" style="57" customWidth="1"/>
    <col min="2" max="2" width="20.85546875" style="57" customWidth="1"/>
    <col min="3" max="4" width="13.28515625" style="57" customWidth="1"/>
    <col min="5" max="5" width="14.28515625" style="57" customWidth="1"/>
    <col min="6" max="6" width="13.7109375" style="57" customWidth="1"/>
    <col min="7" max="7" width="16.140625" style="57" bestFit="1" customWidth="1"/>
    <col min="8" max="8" width="14.7109375" style="57" bestFit="1" customWidth="1"/>
    <col min="9" max="9" width="9.140625" style="57"/>
    <col min="10" max="10" width="14.42578125" style="57" bestFit="1" customWidth="1"/>
    <col min="11" max="16384" width="9.140625" style="57"/>
  </cols>
  <sheetData>
    <row r="1" spans="2:10" ht="22.5" customHeight="1" x14ac:dyDescent="0.2">
      <c r="B1" s="205" t="s">
        <v>124</v>
      </c>
      <c r="C1" s="205"/>
      <c r="D1" s="205"/>
      <c r="E1" s="205"/>
      <c r="F1" s="205"/>
      <c r="G1" s="205"/>
    </row>
    <row r="3" spans="2:10" ht="22.5" customHeight="1" x14ac:dyDescent="0.2">
      <c r="B3" s="61" t="s">
        <v>226</v>
      </c>
    </row>
    <row r="4" spans="2:10" ht="22.5" customHeight="1" x14ac:dyDescent="0.2">
      <c r="B4" s="206" t="s">
        <v>225</v>
      </c>
      <c r="C4" s="206"/>
      <c r="D4" s="206"/>
      <c r="E4" s="206"/>
      <c r="F4" s="206"/>
      <c r="G4" s="206"/>
      <c r="H4" s="58"/>
    </row>
    <row r="5" spans="2:10" ht="22.5" customHeight="1" thickBot="1" x14ac:dyDescent="0.25"/>
    <row r="6" spans="2:10" ht="22.5" customHeight="1" thickBot="1" x14ac:dyDescent="0.25">
      <c r="B6" s="199" t="s">
        <v>86</v>
      </c>
      <c r="C6" s="200"/>
      <c r="D6" s="200"/>
      <c r="E6" s="200"/>
      <c r="F6" s="200"/>
      <c r="G6" s="201"/>
    </row>
    <row r="7" spans="2:10" ht="22.5" customHeight="1" x14ac:dyDescent="0.2">
      <c r="B7" s="11"/>
      <c r="C7" s="11"/>
      <c r="D7" s="11"/>
      <c r="E7" s="11"/>
      <c r="F7" s="11"/>
      <c r="G7" s="11"/>
    </row>
    <row r="8" spans="2:10" ht="22.5" customHeight="1" x14ac:dyDescent="0.2">
      <c r="B8" s="40" t="s">
        <v>82</v>
      </c>
      <c r="C8" s="40" t="s">
        <v>123</v>
      </c>
      <c r="D8" s="40" t="s">
        <v>83</v>
      </c>
      <c r="E8" s="40" t="s">
        <v>93</v>
      </c>
      <c r="F8" s="40" t="s">
        <v>84</v>
      </c>
      <c r="G8" s="40" t="s">
        <v>85</v>
      </c>
    </row>
    <row r="9" spans="2:10" ht="22.5" customHeight="1" x14ac:dyDescent="0.2">
      <c r="B9" s="197" t="s">
        <v>216</v>
      </c>
      <c r="C9" s="56">
        <v>9</v>
      </c>
      <c r="D9" s="3">
        <v>30</v>
      </c>
      <c r="E9" s="4">
        <f>Recepcionista!H134</f>
        <v>8958.34</v>
      </c>
      <c r="F9" s="5">
        <f>E9*C9</f>
        <v>80625.06</v>
      </c>
      <c r="G9" s="5">
        <f>F9*D9</f>
        <v>2418751.7999999998</v>
      </c>
      <c r="J9" s="58"/>
    </row>
    <row r="10" spans="2:10" ht="22.5" customHeight="1" x14ac:dyDescent="0.2">
      <c r="B10" s="197" t="s">
        <v>205</v>
      </c>
      <c r="C10" s="56">
        <v>2</v>
      </c>
      <c r="D10" s="3">
        <v>24</v>
      </c>
      <c r="E10" s="4">
        <f>Telefonista!H134</f>
        <v>9100.89</v>
      </c>
      <c r="F10" s="5">
        <f>E10*C10</f>
        <v>18201.78</v>
      </c>
      <c r="G10" s="5">
        <f>F10*D10</f>
        <v>436842.72</v>
      </c>
      <c r="J10" s="58"/>
    </row>
    <row r="11" spans="2:10" ht="22.5" customHeight="1" x14ac:dyDescent="0.2">
      <c r="B11" s="14" t="s">
        <v>57</v>
      </c>
      <c r="C11" s="56">
        <f>SUM(C9:C10)</f>
        <v>11</v>
      </c>
      <c r="D11" s="203"/>
      <c r="E11" s="204"/>
      <c r="F11" s="7">
        <f>SUM(F9:F10)</f>
        <v>98826.84</v>
      </c>
      <c r="G11" s="6">
        <f>SUM(G9:G10)</f>
        <v>2855594.5199999996</v>
      </c>
      <c r="J11" s="58"/>
    </row>
    <row r="12" spans="2:10" ht="22.5" customHeight="1" x14ac:dyDescent="0.2">
      <c r="B12" s="202" t="s">
        <v>121</v>
      </c>
      <c r="C12" s="202"/>
      <c r="D12" s="202"/>
      <c r="E12" s="202"/>
      <c r="F12" s="202"/>
      <c r="G12" s="59">
        <f>G11</f>
        <v>2855594.5199999996</v>
      </c>
    </row>
    <row r="13" spans="2:10" ht="14.1" customHeight="1" x14ac:dyDescent="0.2">
      <c r="F13" s="1"/>
    </row>
    <row r="14" spans="2:10" ht="101.1" customHeight="1" x14ac:dyDescent="0.2">
      <c r="B14" s="198" t="s">
        <v>197</v>
      </c>
      <c r="C14" s="198"/>
      <c r="D14" s="198"/>
      <c r="E14" s="198"/>
      <c r="F14" s="198"/>
      <c r="G14" s="198"/>
    </row>
    <row r="15" spans="2:10" ht="14.1" customHeight="1" x14ac:dyDescent="0.2">
      <c r="F15" s="1"/>
    </row>
    <row r="16" spans="2:10" ht="63.6" customHeight="1" x14ac:dyDescent="0.2">
      <c r="B16" s="198" t="s">
        <v>198</v>
      </c>
      <c r="C16" s="198"/>
      <c r="D16" s="198"/>
      <c r="E16" s="198"/>
      <c r="F16" s="198"/>
      <c r="G16" s="198"/>
    </row>
    <row r="17" spans="2:7" ht="14.1" customHeight="1" x14ac:dyDescent="0.2">
      <c r="F17" s="1"/>
    </row>
    <row r="18" spans="2:7" ht="29.45" customHeight="1" x14ac:dyDescent="0.2">
      <c r="B18" s="198" t="s">
        <v>199</v>
      </c>
      <c r="C18" s="198"/>
      <c r="D18" s="198"/>
      <c r="E18" s="198"/>
      <c r="F18" s="198"/>
      <c r="G18" s="198"/>
    </row>
    <row r="19" spans="2:7" ht="14.1" customHeight="1" x14ac:dyDescent="0.2">
      <c r="F19" s="1"/>
    </row>
    <row r="20" spans="2:7" ht="22.5" customHeight="1" x14ac:dyDescent="0.2">
      <c r="B20" s="198" t="s">
        <v>200</v>
      </c>
      <c r="C20" s="198"/>
      <c r="D20" s="198"/>
      <c r="E20" s="198"/>
      <c r="F20" s="198"/>
      <c r="G20" s="198"/>
    </row>
    <row r="21" spans="2:7" ht="22.5" customHeight="1" x14ac:dyDescent="0.2">
      <c r="F21" s="1"/>
    </row>
    <row r="22" spans="2:7" ht="22.5" customHeight="1" x14ac:dyDescent="0.2">
      <c r="D22" s="128" t="s">
        <v>182</v>
      </c>
      <c r="F22" s="1"/>
    </row>
    <row r="23" spans="2:7" ht="22.5" customHeight="1" x14ac:dyDescent="0.2">
      <c r="E23" s="129"/>
    </row>
    <row r="24" spans="2:7" ht="22.5" customHeight="1" x14ac:dyDescent="0.2">
      <c r="D24" s="129" t="s">
        <v>183</v>
      </c>
    </row>
    <row r="25" spans="2:7" ht="22.5" customHeight="1" x14ac:dyDescent="0.2">
      <c r="D25" s="129" t="s">
        <v>184</v>
      </c>
    </row>
    <row r="26" spans="2:7" ht="22.5" customHeight="1" x14ac:dyDescent="0.2">
      <c r="D26" s="129" t="s">
        <v>185</v>
      </c>
    </row>
    <row r="27" spans="2:7" ht="22.5" customHeight="1" x14ac:dyDescent="0.2">
      <c r="D27" s="129" t="s">
        <v>186</v>
      </c>
    </row>
    <row r="28" spans="2:7" ht="22.5" customHeight="1" x14ac:dyDescent="0.2">
      <c r="D28" s="129" t="s">
        <v>187</v>
      </c>
    </row>
  </sheetData>
  <mergeCells count="9">
    <mergeCell ref="B20:G20"/>
    <mergeCell ref="B6:G6"/>
    <mergeCell ref="B12:F12"/>
    <mergeCell ref="D11:E11"/>
    <mergeCell ref="B1:G1"/>
    <mergeCell ref="B4:G4"/>
    <mergeCell ref="B14:G14"/>
    <mergeCell ref="B16:G16"/>
    <mergeCell ref="B18:G18"/>
  </mergeCells>
  <printOptions horizontalCentered="1"/>
  <pageMargins left="0.51181102362204722" right="0.51181102362204722" top="0.98425196850393704" bottom="0.78740157480314965" header="0.31496062992125984" footer="0.31496062992125984"/>
  <pageSetup paperSize="9" scale="90"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B1:I147"/>
  <sheetViews>
    <sheetView showGridLines="0" zoomScale="120" zoomScaleNormal="120" workbookViewId="0">
      <selection activeCell="I37" sqref="I37"/>
    </sheetView>
  </sheetViews>
  <sheetFormatPr defaultColWidth="9.140625" defaultRowHeight="12.75" x14ac:dyDescent="0.2"/>
  <cols>
    <col min="1" max="1" width="3.5703125" style="62" customWidth="1"/>
    <col min="2" max="2" width="8.28515625" style="62" customWidth="1"/>
    <col min="3" max="3" width="43.7109375" style="62" bestFit="1" customWidth="1"/>
    <col min="4" max="4" width="29.140625" style="62" customWidth="1"/>
    <col min="5" max="5" width="8.140625" style="62" customWidth="1"/>
    <col min="6" max="6" width="9.140625" style="62" bestFit="1" customWidth="1"/>
    <col min="7" max="7" width="9.140625" style="62" customWidth="1"/>
    <col min="8" max="9" width="15.28515625" style="62" customWidth="1"/>
    <col min="10" max="16384" width="9.140625" style="62"/>
  </cols>
  <sheetData>
    <row r="1" spans="2:9" x14ac:dyDescent="0.2">
      <c r="C1" s="111"/>
      <c r="D1" s="12"/>
      <c r="E1" s="12"/>
      <c r="F1" s="12"/>
      <c r="G1" s="12"/>
      <c r="H1" s="12"/>
      <c r="I1" s="12"/>
    </row>
    <row r="2" spans="2:9" x14ac:dyDescent="0.2">
      <c r="B2" s="207" t="s">
        <v>48</v>
      </c>
      <c r="C2" s="207"/>
      <c r="D2" s="207"/>
      <c r="E2" s="207"/>
      <c r="F2" s="207"/>
      <c r="G2" s="207"/>
      <c r="H2" s="207"/>
      <c r="I2" s="98"/>
    </row>
    <row r="3" spans="2:9" x14ac:dyDescent="0.2">
      <c r="B3" s="208" t="s">
        <v>188</v>
      </c>
      <c r="C3" s="208"/>
      <c r="D3" s="208"/>
      <c r="E3" s="208"/>
      <c r="F3" s="208"/>
      <c r="G3" s="208"/>
      <c r="H3" s="208"/>
      <c r="I3" s="100"/>
    </row>
    <row r="4" spans="2:9" x14ac:dyDescent="0.2">
      <c r="B4" s="64"/>
      <c r="C4" s="64"/>
      <c r="D4" s="64"/>
      <c r="E4" s="64"/>
      <c r="F4" s="64"/>
      <c r="G4" s="64"/>
      <c r="H4" s="64"/>
      <c r="I4" s="64"/>
    </row>
    <row r="5" spans="2:9" x14ac:dyDescent="0.2">
      <c r="B5" s="64"/>
      <c r="C5" s="64"/>
      <c r="D5" s="64"/>
      <c r="E5" s="64"/>
      <c r="F5" s="64"/>
      <c r="G5" s="64"/>
      <c r="H5" s="64"/>
      <c r="I5" s="64"/>
    </row>
    <row r="6" spans="2:9" x14ac:dyDescent="0.2">
      <c r="B6" s="140" t="s">
        <v>127</v>
      </c>
      <c r="C6" s="140"/>
      <c r="D6" s="211" t="s">
        <v>216</v>
      </c>
      <c r="E6" s="212"/>
      <c r="F6" s="213"/>
      <c r="I6" s="13"/>
    </row>
    <row r="7" spans="2:9" x14ac:dyDescent="0.2">
      <c r="B7" s="64"/>
      <c r="C7" s="64"/>
      <c r="D7" s="64"/>
      <c r="E7" s="64"/>
      <c r="F7" s="64"/>
      <c r="G7" s="64"/>
      <c r="H7" s="64"/>
      <c r="I7" s="12"/>
    </row>
    <row r="8" spans="2:9" x14ac:dyDescent="0.2">
      <c r="B8" s="217" t="s">
        <v>49</v>
      </c>
      <c r="C8" s="217"/>
      <c r="D8" s="217"/>
      <c r="E8" s="217"/>
      <c r="F8" s="217"/>
      <c r="G8" s="141"/>
      <c r="H8" s="141"/>
      <c r="I8" s="63"/>
    </row>
    <row r="9" spans="2:9" x14ac:dyDescent="0.2">
      <c r="B9" s="209">
        <v>1</v>
      </c>
      <c r="C9" s="218" t="s">
        <v>50</v>
      </c>
      <c r="D9" s="218"/>
      <c r="E9" s="218"/>
      <c r="F9" s="218"/>
      <c r="G9" s="141"/>
      <c r="H9" s="141"/>
      <c r="I9" s="63"/>
    </row>
    <row r="10" spans="2:9" x14ac:dyDescent="0.2">
      <c r="B10" s="209"/>
      <c r="C10" s="219"/>
      <c r="D10" s="219"/>
      <c r="E10" s="219"/>
      <c r="F10" s="219"/>
      <c r="G10" s="141"/>
      <c r="H10" s="141"/>
      <c r="I10" s="63"/>
    </row>
    <row r="11" spans="2:9" x14ac:dyDescent="0.2">
      <c r="B11" s="209">
        <v>2</v>
      </c>
      <c r="C11" s="218" t="s">
        <v>51</v>
      </c>
      <c r="D11" s="218"/>
      <c r="E11" s="218"/>
      <c r="F11" s="218"/>
      <c r="G11" s="141"/>
      <c r="H11" s="141"/>
      <c r="I11" s="63"/>
    </row>
    <row r="12" spans="2:9" x14ac:dyDescent="0.2">
      <c r="B12" s="209"/>
      <c r="C12" s="219"/>
      <c r="D12" s="219"/>
      <c r="E12" s="219"/>
      <c r="F12" s="219"/>
      <c r="G12" s="141"/>
      <c r="H12" s="141"/>
      <c r="I12" s="63"/>
    </row>
    <row r="13" spans="2:9" x14ac:dyDescent="0.2">
      <c r="B13" s="209">
        <v>3</v>
      </c>
      <c r="C13" s="218" t="s">
        <v>52</v>
      </c>
      <c r="D13" s="218"/>
      <c r="E13" s="218"/>
      <c r="F13" s="218"/>
      <c r="G13" s="141"/>
      <c r="H13" s="141"/>
      <c r="I13" s="63"/>
    </row>
    <row r="14" spans="2:9" x14ac:dyDescent="0.2">
      <c r="B14" s="209"/>
      <c r="C14" s="221">
        <v>1966.52</v>
      </c>
      <c r="D14" s="221"/>
      <c r="E14" s="221"/>
      <c r="F14" s="221"/>
      <c r="G14" s="141"/>
      <c r="H14" s="141"/>
      <c r="I14" s="63"/>
    </row>
    <row r="15" spans="2:9" x14ac:dyDescent="0.2">
      <c r="B15" s="209">
        <v>4</v>
      </c>
      <c r="C15" s="218" t="s">
        <v>53</v>
      </c>
      <c r="D15" s="218"/>
      <c r="E15" s="218"/>
      <c r="F15" s="218"/>
      <c r="G15" s="141"/>
      <c r="H15" s="141"/>
      <c r="I15" s="63"/>
    </row>
    <row r="16" spans="2:9" x14ac:dyDescent="0.2">
      <c r="B16" s="209"/>
      <c r="C16" s="220">
        <v>46082</v>
      </c>
      <c r="D16" s="219"/>
      <c r="E16" s="219"/>
      <c r="F16" s="219"/>
      <c r="G16" s="141"/>
      <c r="H16" s="141"/>
      <c r="I16" s="63"/>
    </row>
    <row r="17" spans="2:9" x14ac:dyDescent="0.2">
      <c r="B17" s="209">
        <v>5</v>
      </c>
      <c r="C17" s="218" t="s">
        <v>54</v>
      </c>
      <c r="D17" s="218"/>
      <c r="E17" s="218"/>
      <c r="F17" s="218"/>
      <c r="G17" s="141"/>
      <c r="H17" s="141"/>
      <c r="I17" s="63"/>
    </row>
    <row r="18" spans="2:9" x14ac:dyDescent="0.2">
      <c r="B18" s="209"/>
      <c r="C18" s="219">
        <v>2026</v>
      </c>
      <c r="D18" s="219"/>
      <c r="E18" s="219"/>
      <c r="F18" s="219"/>
      <c r="G18" s="141"/>
      <c r="H18" s="141"/>
      <c r="I18" s="63"/>
    </row>
    <row r="19" spans="2:9" x14ac:dyDescent="0.2">
      <c r="B19" s="209">
        <v>6</v>
      </c>
      <c r="C19" s="218" t="s">
        <v>55</v>
      </c>
      <c r="D19" s="218"/>
      <c r="E19" s="218"/>
      <c r="F19" s="218"/>
      <c r="G19" s="141"/>
      <c r="H19" s="141"/>
      <c r="I19" s="63"/>
    </row>
    <row r="20" spans="2:9" x14ac:dyDescent="0.2">
      <c r="B20" s="209"/>
      <c r="C20" s="219"/>
      <c r="D20" s="219"/>
      <c r="E20" s="219"/>
      <c r="F20" s="219"/>
      <c r="G20" s="141"/>
      <c r="H20" s="141"/>
      <c r="I20" s="63"/>
    </row>
    <row r="21" spans="2:9" x14ac:dyDescent="0.2">
      <c r="B21" s="65"/>
      <c r="C21" s="65"/>
      <c r="D21" s="65"/>
      <c r="E21" s="65"/>
      <c r="F21" s="65"/>
      <c r="G21" s="66"/>
      <c r="H21" s="66"/>
      <c r="I21" s="63"/>
    </row>
    <row r="22" spans="2:9" x14ac:dyDescent="0.2">
      <c r="B22" s="67"/>
      <c r="C22" s="67"/>
      <c r="D22" s="67"/>
      <c r="E22" s="67"/>
      <c r="F22" s="67"/>
      <c r="G22" s="67"/>
      <c r="H22" s="146" t="s">
        <v>194</v>
      </c>
    </row>
    <row r="23" spans="2:9" x14ac:dyDescent="0.2">
      <c r="B23" s="226" t="s">
        <v>62</v>
      </c>
      <c r="C23" s="227"/>
      <c r="D23" s="227"/>
      <c r="E23" s="227"/>
      <c r="F23" s="227"/>
      <c r="G23" s="144"/>
      <c r="H23" s="145"/>
      <c r="I23" s="99"/>
    </row>
    <row r="24" spans="2:9" x14ac:dyDescent="0.2">
      <c r="B24" s="94">
        <v>1</v>
      </c>
      <c r="C24" s="203" t="s">
        <v>56</v>
      </c>
      <c r="D24" s="210"/>
      <c r="E24" s="210"/>
      <c r="F24" s="204"/>
      <c r="G24" s="143" t="s">
        <v>1</v>
      </c>
      <c r="H24" s="143" t="s">
        <v>47</v>
      </c>
      <c r="I24" s="99"/>
    </row>
    <row r="25" spans="2:9" ht="12.75" customHeight="1" x14ac:dyDescent="0.2">
      <c r="B25" s="14" t="s">
        <v>4</v>
      </c>
      <c r="C25" s="92" t="s">
        <v>17</v>
      </c>
      <c r="D25" s="214"/>
      <c r="E25" s="215"/>
      <c r="F25" s="216"/>
      <c r="G25" s="15"/>
      <c r="H25" s="31">
        <v>1966.52</v>
      </c>
      <c r="I25" s="105"/>
    </row>
    <row r="26" spans="2:9" x14ac:dyDescent="0.2">
      <c r="B26" s="14" t="s">
        <v>5</v>
      </c>
      <c r="C26" s="92" t="s">
        <v>24</v>
      </c>
      <c r="D26" s="214" t="s">
        <v>128</v>
      </c>
      <c r="E26" s="215"/>
      <c r="F26" s="216"/>
      <c r="G26" s="32"/>
      <c r="H26" s="16">
        <f>TRUNC(H$25*$G26,2)</f>
        <v>0</v>
      </c>
      <c r="I26" s="101"/>
    </row>
    <row r="27" spans="2:9" x14ac:dyDescent="0.2">
      <c r="B27" s="14" t="s">
        <v>6</v>
      </c>
      <c r="C27" s="93" t="s">
        <v>25</v>
      </c>
      <c r="D27" s="170" t="s">
        <v>169</v>
      </c>
      <c r="E27" s="181" t="s">
        <v>196</v>
      </c>
      <c r="F27" s="180">
        <v>1621</v>
      </c>
      <c r="G27" s="32"/>
      <c r="H27" s="16">
        <f>TRUNC(F$27*$G27,2)</f>
        <v>0</v>
      </c>
      <c r="I27" s="101"/>
    </row>
    <row r="28" spans="2:9" x14ac:dyDescent="0.2">
      <c r="B28" s="14" t="s">
        <v>7</v>
      </c>
      <c r="C28" s="93" t="s">
        <v>0</v>
      </c>
      <c r="D28" s="214" t="s">
        <v>176</v>
      </c>
      <c r="E28" s="215"/>
      <c r="F28" s="216"/>
      <c r="G28" s="33"/>
      <c r="H28" s="71">
        <f>TRUNC(((H$25+H26)*$G28)/220*8*15,2)</f>
        <v>0</v>
      </c>
      <c r="I28" s="102"/>
    </row>
    <row r="29" spans="2:9" x14ac:dyDescent="0.2">
      <c r="B29" s="121" t="s">
        <v>8</v>
      </c>
      <c r="C29" s="122" t="s">
        <v>26</v>
      </c>
      <c r="D29" s="223" t="s">
        <v>176</v>
      </c>
      <c r="E29" s="224"/>
      <c r="F29" s="225"/>
      <c r="G29" s="123"/>
      <c r="H29" s="124">
        <f>TRUNC(((H25+H26)*$G29)/220*1*15,2)</f>
        <v>0</v>
      </c>
      <c r="I29" s="125" t="s">
        <v>181</v>
      </c>
    </row>
    <row r="30" spans="2:9" x14ac:dyDescent="0.2">
      <c r="B30" s="126" t="s">
        <v>9</v>
      </c>
      <c r="C30" s="122" t="s">
        <v>104</v>
      </c>
      <c r="D30" s="223" t="s">
        <v>177</v>
      </c>
      <c r="E30" s="224"/>
      <c r="F30" s="225"/>
      <c r="G30" s="127"/>
      <c r="H30" s="124">
        <f>TRUNC($G$34*H34*(1+$G$30),2)</f>
        <v>0</v>
      </c>
      <c r="I30" s="125" t="s">
        <v>181</v>
      </c>
    </row>
    <row r="31" spans="2:9" x14ac:dyDescent="0.2">
      <c r="B31" s="14" t="s">
        <v>10</v>
      </c>
      <c r="C31" s="93" t="s">
        <v>2</v>
      </c>
      <c r="D31" s="214"/>
      <c r="E31" s="215"/>
      <c r="F31" s="216"/>
      <c r="G31" s="33"/>
      <c r="H31" s="52"/>
      <c r="I31" s="103"/>
    </row>
    <row r="32" spans="2:9" x14ac:dyDescent="0.2">
      <c r="B32" s="14" t="s">
        <v>129</v>
      </c>
      <c r="C32" s="203" t="s">
        <v>57</v>
      </c>
      <c r="D32" s="210"/>
      <c r="E32" s="210"/>
      <c r="F32" s="204"/>
      <c r="G32" s="27"/>
      <c r="H32" s="17">
        <f>SUM(H25:H31)</f>
        <v>1966.52</v>
      </c>
      <c r="I32" s="18"/>
    </row>
    <row r="33" spans="2:9" ht="22.5" x14ac:dyDescent="0.2">
      <c r="B33" s="98"/>
      <c r="C33" s="222" t="s">
        <v>118</v>
      </c>
      <c r="D33" s="222"/>
      <c r="E33" s="222"/>
      <c r="F33" s="222"/>
      <c r="G33" s="55" t="s">
        <v>105</v>
      </c>
      <c r="H33" s="54" t="s">
        <v>122</v>
      </c>
      <c r="I33" s="2"/>
    </row>
    <row r="34" spans="2:9" x14ac:dyDescent="0.2">
      <c r="B34" s="98"/>
      <c r="C34" s="222"/>
      <c r="D34" s="222"/>
      <c r="E34" s="222"/>
      <c r="F34" s="222"/>
      <c r="G34" s="53"/>
      <c r="H34" s="34">
        <f>IF($G$34="",0,TRUNC((H25+H26+H27)/220,2))</f>
        <v>0</v>
      </c>
      <c r="I34" s="104"/>
    </row>
    <row r="35" spans="2:9" x14ac:dyDescent="0.2">
      <c r="B35" s="98"/>
      <c r="C35" s="98"/>
      <c r="D35" s="98"/>
      <c r="E35" s="98"/>
      <c r="F35" s="98"/>
      <c r="G35" s="98"/>
      <c r="H35" s="72"/>
      <c r="I35" s="18"/>
    </row>
    <row r="36" spans="2:9" x14ac:dyDescent="0.2">
      <c r="B36" s="98"/>
      <c r="C36" s="98"/>
      <c r="D36" s="98"/>
      <c r="E36" s="98"/>
      <c r="F36" s="98"/>
      <c r="G36" s="98"/>
      <c r="H36" s="72"/>
      <c r="I36" s="18"/>
    </row>
    <row r="37" spans="2:9" ht="12.75" customHeight="1" x14ac:dyDescent="0.2">
      <c r="B37" s="226" t="s">
        <v>63</v>
      </c>
      <c r="C37" s="227"/>
      <c r="D37" s="227"/>
      <c r="E37" s="227"/>
      <c r="F37" s="227"/>
      <c r="G37" s="144"/>
      <c r="H37" s="145"/>
      <c r="I37" s="99"/>
    </row>
    <row r="38" spans="2:9" x14ac:dyDescent="0.2">
      <c r="B38" s="229"/>
      <c r="C38" s="230"/>
      <c r="D38" s="230"/>
      <c r="E38" s="230"/>
      <c r="F38" s="230"/>
      <c r="G38" s="61"/>
      <c r="H38" s="61"/>
      <c r="I38" s="99"/>
    </row>
    <row r="39" spans="2:9" x14ac:dyDescent="0.2">
      <c r="B39" s="228" t="s">
        <v>36</v>
      </c>
      <c r="C39" s="228"/>
      <c r="D39" s="228"/>
      <c r="E39" s="228"/>
      <c r="F39" s="228"/>
      <c r="G39" s="61"/>
      <c r="H39" s="61"/>
      <c r="I39" s="99"/>
    </row>
    <row r="40" spans="2:9" x14ac:dyDescent="0.2">
      <c r="B40" s="143" t="s">
        <v>38</v>
      </c>
      <c r="C40" s="236" t="s">
        <v>27</v>
      </c>
      <c r="D40" s="237"/>
      <c r="E40" s="237"/>
      <c r="F40" s="238"/>
      <c r="G40" s="94" t="s">
        <v>1</v>
      </c>
      <c r="H40" s="94" t="s">
        <v>47</v>
      </c>
      <c r="I40" s="99"/>
    </row>
    <row r="41" spans="2:9" x14ac:dyDescent="0.2">
      <c r="B41" s="14" t="s">
        <v>4</v>
      </c>
      <c r="C41" s="92" t="s">
        <v>106</v>
      </c>
      <c r="D41" s="214" t="s">
        <v>130</v>
      </c>
      <c r="E41" s="215"/>
      <c r="F41" s="216"/>
      <c r="G41" s="149">
        <f>1/12</f>
        <v>8.3333333333333329E-2</v>
      </c>
      <c r="H41" s="150">
        <f>TRUNC((H$32*$G41),2)</f>
        <v>163.87</v>
      </c>
      <c r="I41" s="105"/>
    </row>
    <row r="42" spans="2:9" x14ac:dyDescent="0.2">
      <c r="B42" s="14" t="s">
        <v>5</v>
      </c>
      <c r="C42" s="92" t="s">
        <v>61</v>
      </c>
      <c r="D42" s="214" t="s">
        <v>132</v>
      </c>
      <c r="E42" s="215"/>
      <c r="F42" s="216"/>
      <c r="G42" s="19">
        <f>(1/12)+(1/3/12)</f>
        <v>0.1111111111111111</v>
      </c>
      <c r="H42" s="20">
        <f>TRUNC((H$32*$G42),2)</f>
        <v>218.5</v>
      </c>
      <c r="I42" s="105"/>
    </row>
    <row r="43" spans="2:9" x14ac:dyDescent="0.2">
      <c r="B43" s="14" t="s">
        <v>131</v>
      </c>
      <c r="C43" s="203" t="s">
        <v>57</v>
      </c>
      <c r="D43" s="210"/>
      <c r="E43" s="210"/>
      <c r="F43" s="204"/>
      <c r="G43" s="21">
        <f>TRUNC(SUM(G41:G42),4)</f>
        <v>0.19439999999999999</v>
      </c>
      <c r="H43" s="17">
        <f>SUM(H41:H42)</f>
        <v>382.37</v>
      </c>
      <c r="I43" s="18"/>
    </row>
    <row r="44" spans="2:9" x14ac:dyDescent="0.2">
      <c r="B44" s="239"/>
      <c r="C44" s="240"/>
      <c r="D44" s="240"/>
      <c r="E44" s="240"/>
      <c r="F44" s="240"/>
      <c r="G44" s="240"/>
      <c r="H44" s="241"/>
      <c r="I44" s="98"/>
    </row>
    <row r="45" spans="2:9" ht="30" customHeight="1" x14ac:dyDescent="0.2">
      <c r="B45" s="245" t="s">
        <v>64</v>
      </c>
      <c r="C45" s="246"/>
      <c r="D45" s="246"/>
      <c r="E45" s="246"/>
      <c r="F45" s="247"/>
      <c r="G45" s="147"/>
      <c r="H45" s="148"/>
      <c r="I45" s="106"/>
    </row>
    <row r="46" spans="2:9" x14ac:dyDescent="0.2">
      <c r="B46" s="94" t="s">
        <v>39</v>
      </c>
      <c r="C46" s="203" t="s">
        <v>65</v>
      </c>
      <c r="D46" s="210"/>
      <c r="E46" s="210"/>
      <c r="F46" s="204"/>
      <c r="G46" s="94" t="s">
        <v>1</v>
      </c>
      <c r="H46" s="94" t="s">
        <v>47</v>
      </c>
      <c r="I46" s="99"/>
    </row>
    <row r="47" spans="2:9" x14ac:dyDescent="0.2">
      <c r="B47" s="14" t="s">
        <v>4</v>
      </c>
      <c r="C47" s="92" t="s">
        <v>30</v>
      </c>
      <c r="D47" s="214" t="s">
        <v>133</v>
      </c>
      <c r="E47" s="215"/>
      <c r="F47" s="216"/>
      <c r="G47" s="19">
        <v>0.2</v>
      </c>
      <c r="H47" s="20">
        <f>TRUNC((H$32+H$43)*$G47,2)</f>
        <v>469.77</v>
      </c>
      <c r="I47" s="105"/>
    </row>
    <row r="48" spans="2:9" x14ac:dyDescent="0.2">
      <c r="B48" s="14" t="s">
        <v>5</v>
      </c>
      <c r="C48" s="80" t="s">
        <v>31</v>
      </c>
      <c r="D48" s="214" t="s">
        <v>134</v>
      </c>
      <c r="E48" s="215"/>
      <c r="F48" s="216"/>
      <c r="G48" s="19">
        <v>2.5000000000000001E-2</v>
      </c>
      <c r="H48" s="20">
        <f>TRUNC((H$32+H$43)*$G48,2)</f>
        <v>58.72</v>
      </c>
      <c r="I48" s="105"/>
    </row>
    <row r="49" spans="2:9" x14ac:dyDescent="0.2">
      <c r="B49" s="231" t="s">
        <v>6</v>
      </c>
      <c r="C49" s="233" t="s">
        <v>98</v>
      </c>
      <c r="D49" s="235" t="s">
        <v>140</v>
      </c>
      <c r="E49" s="8" t="s">
        <v>99</v>
      </c>
      <c r="F49" s="8" t="s">
        <v>97</v>
      </c>
      <c r="G49" s="242">
        <f>E50*F50</f>
        <v>0.03</v>
      </c>
      <c r="H49" s="244">
        <f>TRUNC((H$32+H$43)*$G49,2)</f>
        <v>70.459999999999994</v>
      </c>
      <c r="I49" s="107"/>
    </row>
    <row r="50" spans="2:9" x14ac:dyDescent="0.2">
      <c r="B50" s="232"/>
      <c r="C50" s="234"/>
      <c r="D50" s="235"/>
      <c r="E50" s="35">
        <v>0.03</v>
      </c>
      <c r="F50" s="36">
        <v>1</v>
      </c>
      <c r="G50" s="243"/>
      <c r="H50" s="244"/>
      <c r="I50" s="107"/>
    </row>
    <row r="51" spans="2:9" x14ac:dyDescent="0.2">
      <c r="B51" s="14" t="s">
        <v>7</v>
      </c>
      <c r="C51" s="92" t="s">
        <v>29</v>
      </c>
      <c r="D51" s="214" t="s">
        <v>135</v>
      </c>
      <c r="E51" s="215"/>
      <c r="F51" s="216"/>
      <c r="G51" s="19">
        <v>1.4999999999999999E-2</v>
      </c>
      <c r="H51" s="20">
        <f>TRUNC((H$32+H$43)*$G51,2)</f>
        <v>35.229999999999997</v>
      </c>
      <c r="I51" s="105"/>
    </row>
    <row r="52" spans="2:9" x14ac:dyDescent="0.2">
      <c r="B52" s="14" t="s">
        <v>8</v>
      </c>
      <c r="C52" s="92" t="s">
        <v>32</v>
      </c>
      <c r="D52" s="214" t="s">
        <v>136</v>
      </c>
      <c r="E52" s="215"/>
      <c r="F52" s="216"/>
      <c r="G52" s="19">
        <v>0.01</v>
      </c>
      <c r="H52" s="20">
        <f>TRUNC((H$32+H$43)*$G52,2)</f>
        <v>23.48</v>
      </c>
      <c r="I52" s="105"/>
    </row>
    <row r="53" spans="2:9" x14ac:dyDescent="0.2">
      <c r="B53" s="14" t="s">
        <v>9</v>
      </c>
      <c r="C53" s="92" t="s">
        <v>33</v>
      </c>
      <c r="D53" s="214" t="s">
        <v>137</v>
      </c>
      <c r="E53" s="215"/>
      <c r="F53" s="216"/>
      <c r="G53" s="19">
        <v>6.0000000000000001E-3</v>
      </c>
      <c r="H53" s="20">
        <f>TRUNC((H$32+H$43)*$G53,2)</f>
        <v>14.09</v>
      </c>
      <c r="I53" s="105"/>
    </row>
    <row r="54" spans="2:9" x14ac:dyDescent="0.2">
      <c r="B54" s="14" t="s">
        <v>10</v>
      </c>
      <c r="C54" s="92" t="s">
        <v>34</v>
      </c>
      <c r="D54" s="214" t="s">
        <v>138</v>
      </c>
      <c r="E54" s="215"/>
      <c r="F54" s="216"/>
      <c r="G54" s="19">
        <v>2E-3</v>
      </c>
      <c r="H54" s="20">
        <f>TRUNC((H$32+H$43)*$G54,2)</f>
        <v>4.6900000000000004</v>
      </c>
      <c r="I54" s="105"/>
    </row>
    <row r="55" spans="2:9" x14ac:dyDescent="0.2">
      <c r="B55" s="14" t="s">
        <v>11</v>
      </c>
      <c r="C55" s="92" t="s">
        <v>35</v>
      </c>
      <c r="D55" s="214" t="s">
        <v>139</v>
      </c>
      <c r="E55" s="215"/>
      <c r="F55" s="216"/>
      <c r="G55" s="19">
        <v>0.08</v>
      </c>
      <c r="H55" s="20">
        <f>TRUNC((H$32+H$43)*$G55,2)</f>
        <v>187.91</v>
      </c>
      <c r="I55" s="105"/>
    </row>
    <row r="56" spans="2:9" x14ac:dyDescent="0.2">
      <c r="B56" s="14" t="s">
        <v>141</v>
      </c>
      <c r="C56" s="203" t="s">
        <v>57</v>
      </c>
      <c r="D56" s="210"/>
      <c r="E56" s="210"/>
      <c r="F56" s="204"/>
      <c r="G56" s="22">
        <f>SUM(G47:G55)</f>
        <v>0.36800000000000005</v>
      </c>
      <c r="H56" s="17">
        <f>SUM(H47:H55)</f>
        <v>864.35000000000014</v>
      </c>
      <c r="I56" s="18"/>
    </row>
    <row r="57" spans="2:9" x14ac:dyDescent="0.2">
      <c r="B57" s="248"/>
      <c r="C57" s="249"/>
      <c r="D57" s="249"/>
      <c r="E57" s="249"/>
      <c r="F57" s="249"/>
      <c r="G57" s="249"/>
      <c r="H57" s="250"/>
      <c r="I57" s="116"/>
    </row>
    <row r="58" spans="2:9" ht="12.75" customHeight="1" x14ac:dyDescent="0.2">
      <c r="B58" s="245" t="s">
        <v>37</v>
      </c>
      <c r="C58" s="246"/>
      <c r="D58" s="246"/>
      <c r="E58" s="246"/>
      <c r="F58" s="247"/>
      <c r="G58" s="147"/>
      <c r="H58" s="148"/>
      <c r="I58" s="116"/>
    </row>
    <row r="59" spans="2:9" x14ac:dyDescent="0.2">
      <c r="B59" s="94" t="s">
        <v>40</v>
      </c>
      <c r="C59" s="203" t="s">
        <v>41</v>
      </c>
      <c r="D59" s="210"/>
      <c r="E59" s="210"/>
      <c r="F59" s="210"/>
      <c r="G59" s="81"/>
      <c r="H59" s="94" t="s">
        <v>47</v>
      </c>
      <c r="I59" s="99"/>
    </row>
    <row r="60" spans="2:9" ht="12.75" customHeight="1" x14ac:dyDescent="0.2">
      <c r="B60" s="14" t="s">
        <v>4</v>
      </c>
      <c r="C60" s="92" t="s">
        <v>220</v>
      </c>
      <c r="D60" s="170" t="s">
        <v>144</v>
      </c>
      <c r="E60" s="171"/>
      <c r="F60" s="171"/>
      <c r="G60" s="172"/>
      <c r="H60" s="37">
        <f>IF((TRUNC((9.4*2*22)-(H$25*6%),2))&lt;0,"0,00",(TRUNC((9.4*2*22)-(H$25*6%),2)))</f>
        <v>295.60000000000002</v>
      </c>
      <c r="I60" s="117"/>
    </row>
    <row r="61" spans="2:9" ht="12.75" customHeight="1" x14ac:dyDescent="0.2">
      <c r="B61" s="14" t="s">
        <v>5</v>
      </c>
      <c r="C61" s="92" t="s">
        <v>221</v>
      </c>
      <c r="D61" s="170" t="s">
        <v>145</v>
      </c>
      <c r="E61" s="171"/>
      <c r="F61" s="171"/>
      <c r="G61" s="172"/>
      <c r="H61" s="37">
        <f>50.67*22</f>
        <v>1114.74</v>
      </c>
      <c r="I61" s="117"/>
    </row>
    <row r="62" spans="2:9" x14ac:dyDescent="0.2">
      <c r="B62" s="14" t="s">
        <v>6</v>
      </c>
      <c r="C62" s="92" t="s">
        <v>219</v>
      </c>
      <c r="D62" s="170" t="s">
        <v>217</v>
      </c>
      <c r="E62" s="171"/>
      <c r="F62" s="171"/>
      <c r="G62" s="172"/>
      <c r="H62" s="37">
        <v>871.98</v>
      </c>
      <c r="I62" s="117"/>
    </row>
    <row r="63" spans="2:9" s="73" customFormat="1" x14ac:dyDescent="0.2">
      <c r="B63" s="14" t="s">
        <v>7</v>
      </c>
      <c r="C63" s="92" t="s">
        <v>218</v>
      </c>
      <c r="D63" s="196"/>
      <c r="E63" s="171"/>
      <c r="F63" s="171"/>
      <c r="G63" s="172"/>
      <c r="H63" s="37">
        <v>22.7</v>
      </c>
      <c r="I63" s="117"/>
    </row>
    <row r="64" spans="2:9" x14ac:dyDescent="0.2">
      <c r="B64" s="14" t="s">
        <v>142</v>
      </c>
      <c r="C64" s="203" t="s">
        <v>57</v>
      </c>
      <c r="D64" s="210"/>
      <c r="E64" s="210"/>
      <c r="F64" s="210"/>
      <c r="G64" s="81"/>
      <c r="H64" s="17">
        <f>SUM(H60:H63)</f>
        <v>2305.02</v>
      </c>
      <c r="I64" s="18"/>
    </row>
    <row r="65" spans="2:9" x14ac:dyDescent="0.2">
      <c r="B65" s="239"/>
      <c r="C65" s="240"/>
      <c r="D65" s="240"/>
      <c r="E65" s="240"/>
      <c r="F65" s="240"/>
      <c r="G65" s="240"/>
      <c r="H65" s="240"/>
      <c r="I65" s="98"/>
    </row>
    <row r="66" spans="2:9" x14ac:dyDescent="0.2">
      <c r="B66" s="253" t="s">
        <v>67</v>
      </c>
      <c r="C66" s="254"/>
      <c r="D66" s="254"/>
      <c r="E66" s="254"/>
      <c r="F66" s="254"/>
      <c r="G66" s="151"/>
      <c r="H66" s="151"/>
      <c r="I66" s="98"/>
    </row>
    <row r="67" spans="2:9" x14ac:dyDescent="0.2">
      <c r="B67" s="94">
        <v>2</v>
      </c>
      <c r="C67" s="203" t="s">
        <v>66</v>
      </c>
      <c r="D67" s="210"/>
      <c r="E67" s="210"/>
      <c r="F67" s="210"/>
      <c r="G67" s="81"/>
      <c r="H67" s="94" t="s">
        <v>47</v>
      </c>
      <c r="I67" s="99"/>
    </row>
    <row r="68" spans="2:9" x14ac:dyDescent="0.2">
      <c r="B68" s="14" t="s">
        <v>38</v>
      </c>
      <c r="C68" s="82" t="s">
        <v>27</v>
      </c>
      <c r="D68" s="170" t="s">
        <v>131</v>
      </c>
      <c r="E68" s="171"/>
      <c r="F68" s="171"/>
      <c r="G68" s="172"/>
      <c r="H68" s="20">
        <f>H43</f>
        <v>382.37</v>
      </c>
      <c r="I68" s="105"/>
    </row>
    <row r="69" spans="2:9" x14ac:dyDescent="0.2">
      <c r="B69" s="14" t="s">
        <v>39</v>
      </c>
      <c r="C69" s="82" t="s">
        <v>28</v>
      </c>
      <c r="D69" s="170" t="s">
        <v>141</v>
      </c>
      <c r="E69" s="171"/>
      <c r="F69" s="171"/>
      <c r="G69" s="172"/>
      <c r="H69" s="20">
        <f>H56</f>
        <v>864.35000000000014</v>
      </c>
      <c r="I69" s="105"/>
    </row>
    <row r="70" spans="2:9" x14ac:dyDescent="0.2">
      <c r="B70" s="14" t="s">
        <v>40</v>
      </c>
      <c r="C70" s="82" t="s">
        <v>41</v>
      </c>
      <c r="D70" s="170" t="s">
        <v>142</v>
      </c>
      <c r="E70" s="171"/>
      <c r="F70" s="171"/>
      <c r="G70" s="172"/>
      <c r="H70" s="20">
        <f>H64</f>
        <v>2305.02</v>
      </c>
      <c r="I70" s="105"/>
    </row>
    <row r="71" spans="2:9" x14ac:dyDescent="0.2">
      <c r="B71" s="14" t="s">
        <v>143</v>
      </c>
      <c r="C71" s="203" t="s">
        <v>57</v>
      </c>
      <c r="D71" s="210"/>
      <c r="E71" s="210"/>
      <c r="F71" s="210"/>
      <c r="G71" s="81"/>
      <c r="H71" s="17">
        <f>SUM(H68:H70)</f>
        <v>3551.7400000000002</v>
      </c>
      <c r="I71" s="18"/>
    </row>
    <row r="72" spans="2:9" x14ac:dyDescent="0.2">
      <c r="B72" s="240"/>
      <c r="C72" s="240"/>
      <c r="D72" s="240"/>
      <c r="E72" s="240"/>
      <c r="F72" s="240"/>
      <c r="G72" s="240"/>
      <c r="H72" s="240"/>
      <c r="I72" s="99"/>
    </row>
    <row r="73" spans="2:9" x14ac:dyDescent="0.2">
      <c r="B73" s="98"/>
      <c r="C73" s="98"/>
      <c r="D73" s="98"/>
      <c r="E73" s="98"/>
      <c r="F73" s="98"/>
      <c r="G73" s="98"/>
      <c r="H73" s="98"/>
      <c r="I73" s="99"/>
    </row>
    <row r="74" spans="2:9" x14ac:dyDescent="0.2">
      <c r="B74" s="226" t="s">
        <v>68</v>
      </c>
      <c r="C74" s="227"/>
      <c r="D74" s="227"/>
      <c r="E74" s="227"/>
      <c r="F74" s="252"/>
      <c r="G74" s="144"/>
      <c r="H74" s="145"/>
      <c r="I74" s="99"/>
    </row>
    <row r="75" spans="2:9" x14ac:dyDescent="0.2">
      <c r="B75" s="94">
        <v>3</v>
      </c>
      <c r="C75" s="203" t="s">
        <v>58</v>
      </c>
      <c r="D75" s="210"/>
      <c r="E75" s="210"/>
      <c r="F75" s="251"/>
      <c r="G75" s="94" t="s">
        <v>1</v>
      </c>
      <c r="H75" s="94" t="s">
        <v>47</v>
      </c>
      <c r="I75" s="99"/>
    </row>
    <row r="76" spans="2:9" x14ac:dyDescent="0.2">
      <c r="B76" s="14" t="s">
        <v>4</v>
      </c>
      <c r="C76" s="92" t="s">
        <v>202</v>
      </c>
      <c r="D76" s="214" t="s">
        <v>170</v>
      </c>
      <c r="E76" s="216"/>
      <c r="F76" s="187">
        <f>TRUNC(H$55*0.4,2)</f>
        <v>75.16</v>
      </c>
      <c r="G76" s="188"/>
      <c r="H76" s="189"/>
      <c r="I76" s="18"/>
    </row>
    <row r="77" spans="2:9" x14ac:dyDescent="0.2">
      <c r="B77" s="14" t="s">
        <v>5</v>
      </c>
      <c r="C77" s="92" t="s">
        <v>95</v>
      </c>
      <c r="D77" s="255" t="s">
        <v>178</v>
      </c>
      <c r="E77" s="259"/>
      <c r="F77" s="187">
        <f>TRUNC((H$32+H$43+H$55+H$64-H60)/12,2)</f>
        <v>378.85</v>
      </c>
      <c r="G77" s="190"/>
      <c r="H77" s="188"/>
      <c r="I77" s="105"/>
    </row>
    <row r="78" spans="2:9" x14ac:dyDescent="0.2">
      <c r="B78" s="14" t="s">
        <v>6</v>
      </c>
      <c r="C78" s="83" t="s">
        <v>94</v>
      </c>
      <c r="D78" s="170" t="s">
        <v>203</v>
      </c>
      <c r="E78" s="171"/>
      <c r="F78" s="191"/>
      <c r="G78" s="38">
        <v>0.5</v>
      </c>
      <c r="H78" s="23">
        <f>TRUNC((F$77+F76)*$G78,2)</f>
        <v>227</v>
      </c>
      <c r="I78" s="192"/>
    </row>
    <row r="79" spans="2:9" x14ac:dyDescent="0.2">
      <c r="B79" s="14" t="s">
        <v>7</v>
      </c>
      <c r="C79" s="83" t="s">
        <v>96</v>
      </c>
      <c r="D79" s="170" t="s">
        <v>204</v>
      </c>
      <c r="E79" s="171"/>
      <c r="F79" s="172"/>
      <c r="G79" s="182">
        <f>1-G78</f>
        <v>0.5</v>
      </c>
      <c r="H79" s="86">
        <f>(TRUNC(F$76*$G79,2))</f>
        <v>37.58</v>
      </c>
      <c r="I79" s="105"/>
    </row>
    <row r="80" spans="2:9" x14ac:dyDescent="0.2">
      <c r="B80" s="14" t="s">
        <v>8</v>
      </c>
      <c r="C80" s="83" t="s">
        <v>175</v>
      </c>
      <c r="D80" s="255" t="s">
        <v>195</v>
      </c>
      <c r="E80" s="256"/>
      <c r="F80" s="39">
        <v>12</v>
      </c>
      <c r="G80" s="39">
        <v>3</v>
      </c>
      <c r="H80" s="20">
        <f>TRUNC(((H$32+H$43+H$56)/30)*$G80/$F80,2)</f>
        <v>26.77</v>
      </c>
      <c r="I80" s="105"/>
    </row>
    <row r="81" spans="2:9" x14ac:dyDescent="0.2">
      <c r="B81" s="14" t="s">
        <v>147</v>
      </c>
      <c r="C81" s="203" t="s">
        <v>57</v>
      </c>
      <c r="D81" s="210"/>
      <c r="E81" s="210"/>
      <c r="F81" s="210"/>
      <c r="G81" s="81"/>
      <c r="H81" s="17">
        <f>H$78+H$79+H$80</f>
        <v>291.34999999999997</v>
      </c>
      <c r="I81" s="18"/>
    </row>
    <row r="82" spans="2:9" x14ac:dyDescent="0.2">
      <c r="B82" s="95"/>
      <c r="C82" s="95"/>
      <c r="D82" s="95"/>
      <c r="E82" s="95"/>
      <c r="F82" s="95"/>
      <c r="G82" s="95"/>
      <c r="H82" s="95"/>
      <c r="I82" s="95"/>
    </row>
    <row r="83" spans="2:9" x14ac:dyDescent="0.2">
      <c r="B83" s="98"/>
      <c r="C83" s="98"/>
      <c r="D83" s="98"/>
      <c r="E83" s="98"/>
      <c r="F83" s="98"/>
      <c r="G83" s="98"/>
      <c r="H83" s="98"/>
      <c r="I83" s="99"/>
    </row>
    <row r="84" spans="2:9" x14ac:dyDescent="0.2">
      <c r="B84" s="226" t="s">
        <v>69</v>
      </c>
      <c r="C84" s="227"/>
      <c r="D84" s="227"/>
      <c r="E84" s="227"/>
      <c r="F84" s="252"/>
      <c r="G84" s="144"/>
      <c r="H84" s="145"/>
      <c r="I84" s="99"/>
    </row>
    <row r="85" spans="2:9" x14ac:dyDescent="0.2">
      <c r="B85" s="257" t="s">
        <v>87</v>
      </c>
      <c r="C85" s="258"/>
      <c r="D85" s="258"/>
      <c r="E85" s="258"/>
      <c r="F85" s="258"/>
      <c r="G85" s="152"/>
      <c r="H85" s="153"/>
      <c r="I85" s="99"/>
    </row>
    <row r="86" spans="2:9" x14ac:dyDescent="0.2">
      <c r="B86" s="94" t="s">
        <v>14</v>
      </c>
      <c r="C86" s="203" t="s">
        <v>88</v>
      </c>
      <c r="D86" s="210"/>
      <c r="E86" s="210"/>
      <c r="F86" s="204"/>
      <c r="G86" s="94" t="s">
        <v>100</v>
      </c>
      <c r="H86" s="94" t="s">
        <v>47</v>
      </c>
      <c r="I86" s="99"/>
    </row>
    <row r="87" spans="2:9" x14ac:dyDescent="0.2">
      <c r="B87" s="14" t="s">
        <v>4</v>
      </c>
      <c r="C87" s="92" t="s">
        <v>201</v>
      </c>
      <c r="D87" s="170" t="s">
        <v>153</v>
      </c>
      <c r="E87" s="171"/>
      <c r="F87" s="172"/>
      <c r="G87" s="39">
        <v>30</v>
      </c>
      <c r="H87" s="20">
        <f>TRUNC((F$89*$G87)/12,2)</f>
        <v>484.12</v>
      </c>
      <c r="I87" s="105"/>
    </row>
    <row r="88" spans="2:9" ht="22.5" x14ac:dyDescent="0.2">
      <c r="B88" s="14" t="s">
        <v>5</v>
      </c>
      <c r="C88" s="84" t="s">
        <v>159</v>
      </c>
      <c r="D88" s="173" t="s">
        <v>160</v>
      </c>
      <c r="E88" s="174"/>
      <c r="F88" s="175"/>
      <c r="G88" s="60">
        <v>8</v>
      </c>
      <c r="H88" s="20">
        <f>TRUNC((F$89*$G88)/12,2)</f>
        <v>129.1</v>
      </c>
      <c r="I88" s="105"/>
    </row>
    <row r="89" spans="2:9" x14ac:dyDescent="0.2">
      <c r="B89" s="14" t="s">
        <v>6</v>
      </c>
      <c r="C89" s="92" t="s">
        <v>107</v>
      </c>
      <c r="D89" s="170" t="s">
        <v>146</v>
      </c>
      <c r="E89" s="171"/>
      <c r="F89" s="186">
        <f>TRUNC((H$32+H$71+H$81)/30,2)</f>
        <v>193.65</v>
      </c>
      <c r="G89" s="185"/>
      <c r="H89" s="184"/>
      <c r="I89" s="183"/>
    </row>
    <row r="90" spans="2:9" x14ac:dyDescent="0.2">
      <c r="B90" s="14" t="s">
        <v>148</v>
      </c>
      <c r="C90" s="203" t="s">
        <v>57</v>
      </c>
      <c r="D90" s="210"/>
      <c r="E90" s="210"/>
      <c r="F90" s="210"/>
      <c r="G90" s="81"/>
      <c r="H90" s="17">
        <f>TRUNC(H$87+H$88,2)</f>
        <v>613.22</v>
      </c>
      <c r="I90" s="18"/>
    </row>
    <row r="91" spans="2:9" x14ac:dyDescent="0.2">
      <c r="B91" s="74"/>
      <c r="C91" s="75"/>
      <c r="D91" s="75"/>
      <c r="E91" s="75"/>
      <c r="F91" s="75"/>
      <c r="G91" s="75"/>
      <c r="H91" s="76"/>
      <c r="I91" s="24"/>
    </row>
    <row r="92" spans="2:9" x14ac:dyDescent="0.2">
      <c r="B92" s="253" t="s">
        <v>89</v>
      </c>
      <c r="C92" s="254"/>
      <c r="D92" s="254"/>
      <c r="E92" s="254"/>
      <c r="F92" s="254"/>
      <c r="G92" s="154"/>
      <c r="H92" s="155"/>
      <c r="I92" s="99"/>
    </row>
    <row r="93" spans="2:9" x14ac:dyDescent="0.2">
      <c r="B93" s="94" t="s">
        <v>15</v>
      </c>
      <c r="C93" s="203" t="s">
        <v>90</v>
      </c>
      <c r="D93" s="210"/>
      <c r="E93" s="210"/>
      <c r="F93" s="204"/>
      <c r="G93" s="94" t="s">
        <v>100</v>
      </c>
      <c r="H93" s="94" t="s">
        <v>47</v>
      </c>
      <c r="I93" s="99"/>
    </row>
    <row r="94" spans="2:9" ht="22.5" x14ac:dyDescent="0.2">
      <c r="B94" s="14" t="s">
        <v>4</v>
      </c>
      <c r="C94" s="84" t="s">
        <v>91</v>
      </c>
      <c r="D94" s="170" t="s">
        <v>180</v>
      </c>
      <c r="E94" s="171"/>
      <c r="F94" s="171"/>
      <c r="G94" s="39"/>
      <c r="H94" s="20">
        <f>TRUNC(((H$32+H71+H81)/220)*(1+50%)*G94,2)</f>
        <v>0</v>
      </c>
      <c r="I94" s="105"/>
    </row>
    <row r="95" spans="2:9" x14ac:dyDescent="0.2">
      <c r="B95" s="14" t="s">
        <v>149</v>
      </c>
      <c r="C95" s="203" t="s">
        <v>57</v>
      </c>
      <c r="D95" s="210"/>
      <c r="E95" s="210"/>
      <c r="F95" s="210"/>
      <c r="G95" s="130"/>
      <c r="H95" s="17">
        <f>H94</f>
        <v>0</v>
      </c>
      <c r="I95" s="105"/>
    </row>
    <row r="96" spans="2:9" x14ac:dyDescent="0.2">
      <c r="B96" s="97"/>
      <c r="C96" s="96"/>
      <c r="D96" s="96"/>
      <c r="E96" s="96"/>
      <c r="F96" s="96"/>
      <c r="G96" s="98"/>
      <c r="H96" s="169"/>
      <c r="I96" s="120"/>
    </row>
    <row r="97" spans="2:9" x14ac:dyDescent="0.2">
      <c r="B97" s="253" t="s">
        <v>70</v>
      </c>
      <c r="C97" s="254"/>
      <c r="D97" s="254"/>
      <c r="E97" s="254"/>
      <c r="F97" s="254"/>
      <c r="G97" s="154"/>
      <c r="H97" s="155"/>
      <c r="I97" s="99"/>
    </row>
    <row r="98" spans="2:9" x14ac:dyDescent="0.2">
      <c r="B98" s="94">
        <v>4</v>
      </c>
      <c r="C98" s="203" t="s">
        <v>71</v>
      </c>
      <c r="D98" s="210"/>
      <c r="E98" s="210"/>
      <c r="F98" s="210"/>
      <c r="G98" s="204"/>
      <c r="H98" s="94" t="s">
        <v>47</v>
      </c>
      <c r="I98" s="99"/>
    </row>
    <row r="99" spans="2:9" x14ac:dyDescent="0.2">
      <c r="B99" s="14" t="s">
        <v>14</v>
      </c>
      <c r="C99" s="92" t="s">
        <v>42</v>
      </c>
      <c r="D99" s="170" t="s">
        <v>148</v>
      </c>
      <c r="E99" s="171"/>
      <c r="F99" s="171"/>
      <c r="G99" s="172"/>
      <c r="H99" s="20">
        <f>H90</f>
        <v>613.22</v>
      </c>
      <c r="I99" s="105"/>
    </row>
    <row r="100" spans="2:9" x14ac:dyDescent="0.2">
      <c r="B100" s="14" t="s">
        <v>15</v>
      </c>
      <c r="C100" s="92" t="s">
        <v>44</v>
      </c>
      <c r="D100" s="170" t="s">
        <v>149</v>
      </c>
      <c r="E100" s="171"/>
      <c r="F100" s="171"/>
      <c r="G100" s="172"/>
      <c r="H100" s="20">
        <f>H95</f>
        <v>0</v>
      </c>
      <c r="I100" s="105"/>
    </row>
    <row r="101" spans="2:9" x14ac:dyDescent="0.2">
      <c r="B101" s="14" t="s">
        <v>150</v>
      </c>
      <c r="C101" s="203" t="s">
        <v>57</v>
      </c>
      <c r="D101" s="210"/>
      <c r="E101" s="210"/>
      <c r="F101" s="210"/>
      <c r="G101" s="81"/>
      <c r="H101" s="17">
        <f>SUM(H99:H100)</f>
        <v>613.22</v>
      </c>
      <c r="I101" s="18"/>
    </row>
    <row r="102" spans="2:9" x14ac:dyDescent="0.2">
      <c r="B102" s="98"/>
      <c r="C102" s="98"/>
      <c r="D102" s="98"/>
      <c r="E102" s="98"/>
      <c r="F102" s="98"/>
      <c r="G102" s="98"/>
      <c r="H102" s="98"/>
      <c r="I102" s="99"/>
    </row>
    <row r="103" spans="2:9" x14ac:dyDescent="0.2">
      <c r="B103" s="98"/>
      <c r="C103" s="98"/>
      <c r="D103" s="98"/>
      <c r="E103" s="98"/>
      <c r="F103" s="98"/>
      <c r="G103" s="98"/>
      <c r="H103" s="98"/>
      <c r="I103" s="99"/>
    </row>
    <row r="104" spans="2:9" x14ac:dyDescent="0.2">
      <c r="B104" s="226" t="s">
        <v>72</v>
      </c>
      <c r="C104" s="227"/>
      <c r="D104" s="227"/>
      <c r="E104" s="227"/>
      <c r="F104" s="252"/>
      <c r="G104" s="144"/>
      <c r="H104" s="145"/>
      <c r="I104" s="99"/>
    </row>
    <row r="105" spans="2:9" x14ac:dyDescent="0.2">
      <c r="B105" s="94">
        <v>5</v>
      </c>
      <c r="C105" s="260" t="s">
        <v>59</v>
      </c>
      <c r="D105" s="261"/>
      <c r="E105" s="261"/>
      <c r="F105" s="261"/>
      <c r="G105" s="262"/>
      <c r="H105" s="94" t="s">
        <v>47</v>
      </c>
      <c r="I105" s="99"/>
    </row>
    <row r="106" spans="2:9" x14ac:dyDescent="0.2">
      <c r="B106" s="14" t="s">
        <v>4</v>
      </c>
      <c r="C106" s="68" t="s">
        <v>45</v>
      </c>
      <c r="D106" s="69"/>
      <c r="E106" s="69"/>
      <c r="F106" s="69"/>
      <c r="G106" s="70"/>
      <c r="H106" s="71">
        <f>Insumos!G11</f>
        <v>223.35999999999999</v>
      </c>
      <c r="I106" s="105"/>
    </row>
    <row r="107" spans="2:9" x14ac:dyDescent="0.2">
      <c r="B107" s="14" t="s">
        <v>5</v>
      </c>
      <c r="C107" s="68" t="s">
        <v>12</v>
      </c>
      <c r="D107" s="69"/>
      <c r="E107" s="69"/>
      <c r="F107" s="69"/>
      <c r="G107" s="70"/>
      <c r="H107" s="71">
        <v>0</v>
      </c>
      <c r="I107" s="105"/>
    </row>
    <row r="108" spans="2:9" x14ac:dyDescent="0.2">
      <c r="B108" s="14" t="s">
        <v>6</v>
      </c>
      <c r="C108" s="68" t="s">
        <v>13</v>
      </c>
      <c r="D108" s="69"/>
      <c r="E108" s="69"/>
      <c r="F108" s="69"/>
      <c r="G108" s="70"/>
      <c r="H108" s="71">
        <f>Insumos!H32</f>
        <v>4.72</v>
      </c>
      <c r="I108" s="105"/>
    </row>
    <row r="109" spans="2:9" x14ac:dyDescent="0.2">
      <c r="B109" s="14" t="s">
        <v>7</v>
      </c>
      <c r="C109" s="68" t="s">
        <v>2</v>
      </c>
      <c r="D109" s="69"/>
      <c r="E109" s="69"/>
      <c r="F109" s="69"/>
      <c r="G109" s="70"/>
      <c r="H109" s="71"/>
      <c r="I109" s="105"/>
    </row>
    <row r="110" spans="2:9" x14ac:dyDescent="0.2">
      <c r="B110" s="14" t="s">
        <v>151</v>
      </c>
      <c r="C110" s="203" t="s">
        <v>57</v>
      </c>
      <c r="D110" s="210"/>
      <c r="E110" s="210"/>
      <c r="F110" s="210"/>
      <c r="G110" s="81"/>
      <c r="H110" s="17">
        <f>SUM(H106:H109)</f>
        <v>228.07999999999998</v>
      </c>
      <c r="I110" s="18"/>
    </row>
    <row r="111" spans="2:9" x14ac:dyDescent="0.2">
      <c r="B111" s="98"/>
      <c r="C111" s="98"/>
      <c r="D111" s="98"/>
      <c r="E111" s="98"/>
      <c r="F111" s="98"/>
      <c r="G111" s="77"/>
      <c r="H111" s="72"/>
      <c r="I111" s="18"/>
    </row>
    <row r="112" spans="2:9" x14ac:dyDescent="0.2">
      <c r="B112" s="98"/>
      <c r="C112" s="98"/>
      <c r="D112" s="98"/>
      <c r="E112" s="98"/>
      <c r="F112" s="98"/>
      <c r="G112" s="98"/>
      <c r="H112" s="98"/>
      <c r="I112" s="99"/>
    </row>
    <row r="113" spans="2:9" x14ac:dyDescent="0.2">
      <c r="B113" s="226" t="s">
        <v>73</v>
      </c>
      <c r="C113" s="227"/>
      <c r="D113" s="227"/>
      <c r="E113" s="227"/>
      <c r="F113" s="252"/>
      <c r="G113" s="144"/>
      <c r="H113" s="145"/>
      <c r="I113" s="99"/>
    </row>
    <row r="114" spans="2:9" x14ac:dyDescent="0.2">
      <c r="B114" s="94">
        <v>6</v>
      </c>
      <c r="C114" s="203" t="s">
        <v>60</v>
      </c>
      <c r="D114" s="210"/>
      <c r="E114" s="210"/>
      <c r="F114" s="204"/>
      <c r="G114" s="94" t="s">
        <v>1</v>
      </c>
      <c r="H114" s="94" t="s">
        <v>47</v>
      </c>
      <c r="I114" s="99"/>
    </row>
    <row r="115" spans="2:9" x14ac:dyDescent="0.2">
      <c r="B115" s="14" t="s">
        <v>4</v>
      </c>
      <c r="C115" s="92" t="s">
        <v>16</v>
      </c>
      <c r="D115" s="214" t="s">
        <v>161</v>
      </c>
      <c r="E115" s="215"/>
      <c r="F115" s="216"/>
      <c r="G115" s="49">
        <v>0.05</v>
      </c>
      <c r="H115" s="20">
        <f>TRUNC(H$132*$G115,2)</f>
        <v>332.54</v>
      </c>
      <c r="I115" s="105"/>
    </row>
    <row r="116" spans="2:9" x14ac:dyDescent="0.2">
      <c r="B116" s="14" t="s">
        <v>5</v>
      </c>
      <c r="C116" s="92" t="s">
        <v>3</v>
      </c>
      <c r="D116" s="214" t="s">
        <v>162</v>
      </c>
      <c r="E116" s="215"/>
      <c r="F116" s="216"/>
      <c r="G116" s="49">
        <v>0.1</v>
      </c>
      <c r="H116" s="20">
        <f>TRUNC((H$132+H$115)*$G116,2)</f>
        <v>698.34</v>
      </c>
      <c r="I116" s="105"/>
    </row>
    <row r="117" spans="2:9" x14ac:dyDescent="0.2">
      <c r="B117" s="14" t="s">
        <v>6</v>
      </c>
      <c r="C117" s="92" t="s">
        <v>116</v>
      </c>
      <c r="D117" s="214" t="s">
        <v>163</v>
      </c>
      <c r="E117" s="215"/>
      <c r="F117" s="216"/>
      <c r="G117" s="51">
        <f>1-(G118+G119+G120)</f>
        <v>0.85749999999999993</v>
      </c>
      <c r="H117" s="25">
        <f>TRUNC(((H$132+H$115+H$116)/$G117),2)</f>
        <v>8958.35</v>
      </c>
      <c r="I117" s="107"/>
    </row>
    <row r="118" spans="2:9" x14ac:dyDescent="0.2">
      <c r="B118" s="14" t="s">
        <v>21</v>
      </c>
      <c r="C118" s="92" t="s">
        <v>18</v>
      </c>
      <c r="D118" s="214" t="s">
        <v>164</v>
      </c>
      <c r="E118" s="215"/>
      <c r="F118" s="216"/>
      <c r="G118" s="50">
        <v>1.6500000000000001E-2</v>
      </c>
      <c r="H118" s="20">
        <f>TRUNC(H$117*$G118,2)</f>
        <v>147.81</v>
      </c>
      <c r="I118" s="105"/>
    </row>
    <row r="119" spans="2:9" x14ac:dyDescent="0.2">
      <c r="B119" s="14" t="s">
        <v>22</v>
      </c>
      <c r="C119" s="92" t="s">
        <v>19</v>
      </c>
      <c r="D119" s="214" t="s">
        <v>164</v>
      </c>
      <c r="E119" s="215"/>
      <c r="F119" s="216"/>
      <c r="G119" s="50">
        <v>7.5999999999999998E-2</v>
      </c>
      <c r="H119" s="20">
        <f>TRUNC(H$117*$G119,2)</f>
        <v>680.83</v>
      </c>
      <c r="I119" s="105"/>
    </row>
    <row r="120" spans="2:9" x14ac:dyDescent="0.2">
      <c r="B120" s="14" t="s">
        <v>23</v>
      </c>
      <c r="C120" s="92" t="s">
        <v>20</v>
      </c>
      <c r="D120" s="214" t="s">
        <v>164</v>
      </c>
      <c r="E120" s="215"/>
      <c r="F120" s="216"/>
      <c r="G120" s="50">
        <v>0.05</v>
      </c>
      <c r="H120" s="20">
        <f>TRUNC(H$117*$G120,2)</f>
        <v>447.91</v>
      </c>
      <c r="I120" s="105"/>
    </row>
    <row r="121" spans="2:9" x14ac:dyDescent="0.2">
      <c r="B121" s="14" t="s">
        <v>152</v>
      </c>
      <c r="C121" s="88" t="s">
        <v>57</v>
      </c>
      <c r="D121" s="266" t="s">
        <v>154</v>
      </c>
      <c r="E121" s="266"/>
      <c r="F121" s="266"/>
      <c r="G121" s="168"/>
      <c r="H121" s="17">
        <f>SUM(H115:H120)-H117</f>
        <v>2307.4299999999985</v>
      </c>
      <c r="I121" s="18"/>
    </row>
    <row r="122" spans="2:9" x14ac:dyDescent="0.2">
      <c r="B122" s="66"/>
      <c r="C122" s="66"/>
      <c r="D122" s="66"/>
      <c r="E122" s="66"/>
      <c r="F122" s="66"/>
      <c r="G122" s="66"/>
      <c r="H122" s="78"/>
      <c r="I122" s="26"/>
    </row>
    <row r="123" spans="2:9" x14ac:dyDescent="0.2">
      <c r="B123" s="263" t="s">
        <v>189</v>
      </c>
      <c r="C123" s="263"/>
      <c r="D123" s="263"/>
      <c r="E123" s="263"/>
      <c r="F123" s="263"/>
      <c r="G123" s="263"/>
      <c r="H123" s="263"/>
      <c r="I123" s="114"/>
    </row>
    <row r="124" spans="2:9" x14ac:dyDescent="0.2">
      <c r="B124" s="91"/>
      <c r="C124" s="91"/>
      <c r="D124" s="91"/>
      <c r="E124" s="91"/>
      <c r="F124" s="91"/>
      <c r="G124" s="91"/>
      <c r="H124" s="91"/>
      <c r="I124" s="114"/>
    </row>
    <row r="125" spans="2:9" x14ac:dyDescent="0.2">
      <c r="B125" s="226" t="s">
        <v>190</v>
      </c>
      <c r="C125" s="227"/>
      <c r="D125" s="227"/>
      <c r="E125" s="227"/>
      <c r="F125" s="227"/>
      <c r="G125" s="162"/>
      <c r="H125" s="145"/>
      <c r="I125" s="99"/>
    </row>
    <row r="126" spans="2:9" ht="12.75" customHeight="1" x14ac:dyDescent="0.2">
      <c r="B126" s="160"/>
      <c r="C126" s="264" t="s">
        <v>117</v>
      </c>
      <c r="D126" s="265"/>
      <c r="E126" s="265"/>
      <c r="F126" s="265"/>
      <c r="G126" s="161"/>
      <c r="H126" s="143" t="s">
        <v>47</v>
      </c>
      <c r="I126" s="99"/>
    </row>
    <row r="127" spans="2:9" x14ac:dyDescent="0.2">
      <c r="B127" s="14" t="s">
        <v>4</v>
      </c>
      <c r="C127" s="84" t="s">
        <v>75</v>
      </c>
      <c r="D127" s="170" t="s">
        <v>129</v>
      </c>
      <c r="E127" s="171"/>
      <c r="F127" s="171"/>
      <c r="G127" s="172"/>
      <c r="H127" s="20">
        <f>H32</f>
        <v>1966.52</v>
      </c>
      <c r="I127" s="105"/>
    </row>
    <row r="128" spans="2:9" ht="22.5" x14ac:dyDescent="0.2">
      <c r="B128" s="14" t="s">
        <v>5</v>
      </c>
      <c r="C128" s="84" t="s">
        <v>76</v>
      </c>
      <c r="D128" s="170" t="s">
        <v>143</v>
      </c>
      <c r="E128" s="171"/>
      <c r="F128" s="171"/>
      <c r="G128" s="172"/>
      <c r="H128" s="20">
        <f>H71</f>
        <v>3551.7400000000002</v>
      </c>
      <c r="I128" s="105"/>
    </row>
    <row r="129" spans="2:9" x14ac:dyDescent="0.2">
      <c r="B129" s="14" t="s">
        <v>6</v>
      </c>
      <c r="C129" s="84" t="s">
        <v>77</v>
      </c>
      <c r="D129" s="170" t="s">
        <v>147</v>
      </c>
      <c r="E129" s="171"/>
      <c r="F129" s="171"/>
      <c r="G129" s="172"/>
      <c r="H129" s="20">
        <f>H81</f>
        <v>291.34999999999997</v>
      </c>
      <c r="I129" s="105"/>
    </row>
    <row r="130" spans="2:9" ht="22.5" x14ac:dyDescent="0.2">
      <c r="B130" s="14" t="s">
        <v>7</v>
      </c>
      <c r="C130" s="84" t="s">
        <v>43</v>
      </c>
      <c r="D130" s="170" t="s">
        <v>150</v>
      </c>
      <c r="E130" s="171"/>
      <c r="F130" s="171"/>
      <c r="G130" s="172"/>
      <c r="H130" s="20">
        <f>H101</f>
        <v>613.22</v>
      </c>
      <c r="I130" s="105"/>
    </row>
    <row r="131" spans="2:9" x14ac:dyDescent="0.2">
      <c r="B131" s="14" t="s">
        <v>8</v>
      </c>
      <c r="C131" s="84" t="s">
        <v>78</v>
      </c>
      <c r="D131" s="170" t="s">
        <v>151</v>
      </c>
      <c r="E131" s="171"/>
      <c r="F131" s="171"/>
      <c r="G131" s="172"/>
      <c r="H131" s="20">
        <f>H110</f>
        <v>228.07999999999998</v>
      </c>
      <c r="I131" s="105"/>
    </row>
    <row r="132" spans="2:9" x14ac:dyDescent="0.2">
      <c r="B132" s="90" t="s">
        <v>9</v>
      </c>
      <c r="C132" s="83" t="s">
        <v>46</v>
      </c>
      <c r="D132" s="176" t="s">
        <v>168</v>
      </c>
      <c r="E132" s="177"/>
      <c r="F132" s="177"/>
      <c r="G132" s="178"/>
      <c r="H132" s="23">
        <f>SUM(H127:H131)</f>
        <v>6650.9100000000008</v>
      </c>
      <c r="I132" s="18"/>
    </row>
    <row r="133" spans="2:9" x14ac:dyDescent="0.2">
      <c r="B133" s="14" t="s">
        <v>10</v>
      </c>
      <c r="C133" s="92" t="s">
        <v>79</v>
      </c>
      <c r="D133" s="170" t="s">
        <v>152</v>
      </c>
      <c r="E133" s="171"/>
      <c r="F133" s="171"/>
      <c r="G133" s="172"/>
      <c r="H133" s="20">
        <f>H121</f>
        <v>2307.4299999999985</v>
      </c>
      <c r="I133" s="105"/>
    </row>
    <row r="134" spans="2:9" x14ac:dyDescent="0.2">
      <c r="B134" s="14" t="s">
        <v>155</v>
      </c>
      <c r="C134" s="87" t="s">
        <v>74</v>
      </c>
      <c r="D134" s="179" t="s">
        <v>167</v>
      </c>
      <c r="E134" s="167"/>
      <c r="F134" s="167"/>
      <c r="G134" s="168"/>
      <c r="H134" s="28">
        <f>SUM(H132:H133)</f>
        <v>8958.34</v>
      </c>
      <c r="I134" s="118"/>
    </row>
    <row r="135" spans="2:9" ht="12.75" customHeight="1" x14ac:dyDescent="0.2">
      <c r="B135" s="12"/>
      <c r="C135" s="12"/>
      <c r="D135" s="12"/>
      <c r="E135" s="12"/>
      <c r="F135" s="12"/>
      <c r="G135" s="12"/>
      <c r="H135" s="29"/>
      <c r="I135" s="29"/>
    </row>
    <row r="136" spans="2:9" x14ac:dyDescent="0.2">
      <c r="B136" s="263" t="s">
        <v>191</v>
      </c>
      <c r="C136" s="263"/>
      <c r="D136" s="263"/>
      <c r="E136" s="263"/>
      <c r="F136" s="263"/>
      <c r="I136" s="12"/>
    </row>
    <row r="137" spans="2:9" x14ac:dyDescent="0.2">
      <c r="B137" s="79"/>
      <c r="C137" s="79"/>
      <c r="D137" s="79"/>
      <c r="E137" s="73"/>
      <c r="F137" s="73"/>
      <c r="I137" s="12"/>
    </row>
    <row r="138" spans="2:9" x14ac:dyDescent="0.2">
      <c r="B138" s="273" t="s">
        <v>192</v>
      </c>
      <c r="C138" s="274"/>
      <c r="D138" s="274"/>
      <c r="E138" s="274"/>
      <c r="F138" s="274"/>
      <c r="G138" s="162"/>
      <c r="H138" s="145"/>
      <c r="I138" s="115"/>
    </row>
    <row r="139" spans="2:9" x14ac:dyDescent="0.2">
      <c r="B139" s="131" t="s">
        <v>4</v>
      </c>
      <c r="C139" s="163" t="s">
        <v>101</v>
      </c>
      <c r="D139" s="275" t="s">
        <v>155</v>
      </c>
      <c r="E139" s="276"/>
      <c r="F139" s="276"/>
      <c r="G139" s="164"/>
      <c r="H139" s="165">
        <f>H134</f>
        <v>8958.34</v>
      </c>
      <c r="I139" s="113"/>
    </row>
    <row r="140" spans="2:9" ht="22.5" x14ac:dyDescent="0.2">
      <c r="B140" s="14" t="s">
        <v>5</v>
      </c>
      <c r="C140" s="85" t="s">
        <v>157</v>
      </c>
      <c r="D140" s="277" t="s">
        <v>158</v>
      </c>
      <c r="E140" s="278"/>
      <c r="F140" s="278"/>
      <c r="G140" s="158"/>
      <c r="H140" s="9">
        <f>H43+H81+H99</f>
        <v>1286.94</v>
      </c>
      <c r="I140" s="108"/>
    </row>
    <row r="141" spans="2:9" ht="22.5" x14ac:dyDescent="0.2">
      <c r="B141" s="14" t="s">
        <v>6</v>
      </c>
      <c r="C141" s="85" t="s">
        <v>171</v>
      </c>
      <c r="D141" s="277" t="s">
        <v>179</v>
      </c>
      <c r="E141" s="278"/>
      <c r="F141" s="278"/>
      <c r="G141" s="159"/>
      <c r="H141" s="112">
        <f>TRUNC((H$43*$G56),2)</f>
        <v>140.71</v>
      </c>
      <c r="I141" s="113"/>
    </row>
    <row r="142" spans="2:9" ht="12.75" customHeight="1" x14ac:dyDescent="0.2">
      <c r="B142" s="14" t="s">
        <v>7</v>
      </c>
      <c r="C142" s="85" t="s">
        <v>16</v>
      </c>
      <c r="D142" s="267" t="s">
        <v>165</v>
      </c>
      <c r="E142" s="268"/>
      <c r="F142" s="269"/>
      <c r="G142" s="10">
        <f>G115</f>
        <v>0.05</v>
      </c>
      <c r="H142" s="9">
        <f>TRUNC((H$140+H$141)*$G142,2)</f>
        <v>71.38</v>
      </c>
      <c r="I142" s="108"/>
    </row>
    <row r="143" spans="2:9" ht="12.75" customHeight="1" x14ac:dyDescent="0.2">
      <c r="B143" s="14" t="s">
        <v>8</v>
      </c>
      <c r="C143" s="85" t="s">
        <v>3</v>
      </c>
      <c r="D143" s="267" t="s">
        <v>166</v>
      </c>
      <c r="E143" s="268"/>
      <c r="F143" s="269"/>
      <c r="G143" s="10">
        <f>G116</f>
        <v>0.1</v>
      </c>
      <c r="H143" s="9">
        <f>TRUNC((H$140+H$141+H$142)*$G143,2)</f>
        <v>149.9</v>
      </c>
      <c r="I143" s="108"/>
    </row>
    <row r="144" spans="2:9" ht="12.75" customHeight="1" x14ac:dyDescent="0.2">
      <c r="B144" s="14" t="s">
        <v>9</v>
      </c>
      <c r="C144" s="85" t="s">
        <v>102</v>
      </c>
      <c r="D144" s="267" t="s">
        <v>173</v>
      </c>
      <c r="E144" s="268"/>
      <c r="F144" s="269"/>
      <c r="G144" s="10">
        <f>G118+G119+G120</f>
        <v>0.14250000000000002</v>
      </c>
      <c r="H144" s="9">
        <f>TRUNC((H$140+H$141+H$142+H$143)/(1-$G144)-(H$140+H$141+H$142+H$143),2)</f>
        <v>274.02</v>
      </c>
      <c r="I144" s="108"/>
    </row>
    <row r="145" spans="2:9" ht="22.5" x14ac:dyDescent="0.2">
      <c r="B145" s="14" t="s">
        <v>10</v>
      </c>
      <c r="C145" s="132" t="s">
        <v>103</v>
      </c>
      <c r="D145" s="156" t="s">
        <v>174</v>
      </c>
      <c r="E145" s="157"/>
      <c r="F145" s="157"/>
      <c r="G145" s="158"/>
      <c r="H145" s="133">
        <f>SUM(H140:H144)</f>
        <v>1922.9500000000003</v>
      </c>
      <c r="I145" s="109"/>
    </row>
    <row r="146" spans="2:9" x14ac:dyDescent="0.2">
      <c r="B146" s="14" t="s">
        <v>156</v>
      </c>
      <c r="C146" s="89" t="s">
        <v>126</v>
      </c>
      <c r="D146" s="279" t="s">
        <v>172</v>
      </c>
      <c r="E146" s="280"/>
      <c r="F146" s="280"/>
      <c r="G146" s="166"/>
      <c r="H146" s="30">
        <f>H139-H145</f>
        <v>7035.3899999999994</v>
      </c>
      <c r="I146" s="119"/>
    </row>
    <row r="147" spans="2:9" ht="45" customHeight="1" x14ac:dyDescent="0.2">
      <c r="B147" s="270" t="s">
        <v>125</v>
      </c>
      <c r="C147" s="271"/>
      <c r="D147" s="271"/>
      <c r="E147" s="271"/>
      <c r="F147" s="271"/>
      <c r="G147" s="272"/>
      <c r="H147" s="142"/>
      <c r="I147" s="110"/>
    </row>
  </sheetData>
  <mergeCells count="105">
    <mergeCell ref="C126:F126"/>
    <mergeCell ref="D121:F121"/>
    <mergeCell ref="D142:F142"/>
    <mergeCell ref="D143:F143"/>
    <mergeCell ref="D144:F144"/>
    <mergeCell ref="B136:F136"/>
    <mergeCell ref="B147:G147"/>
    <mergeCell ref="B138:F138"/>
    <mergeCell ref="D139:F139"/>
    <mergeCell ref="D140:F140"/>
    <mergeCell ref="D141:F141"/>
    <mergeCell ref="D146:F146"/>
    <mergeCell ref="D120:F120"/>
    <mergeCell ref="B123:H123"/>
    <mergeCell ref="C114:F114"/>
    <mergeCell ref="D115:F115"/>
    <mergeCell ref="D116:F116"/>
    <mergeCell ref="D117:F117"/>
    <mergeCell ref="D118:F118"/>
    <mergeCell ref="D119:F119"/>
    <mergeCell ref="B125:F125"/>
    <mergeCell ref="C90:F90"/>
    <mergeCell ref="C81:F81"/>
    <mergeCell ref="C105:G105"/>
    <mergeCell ref="C93:F93"/>
    <mergeCell ref="C98:G98"/>
    <mergeCell ref="B104:F104"/>
    <mergeCell ref="B113:F113"/>
    <mergeCell ref="B92:F92"/>
    <mergeCell ref="B97:F97"/>
    <mergeCell ref="C110:F110"/>
    <mergeCell ref="C101:F101"/>
    <mergeCell ref="C95:F95"/>
    <mergeCell ref="C64:F64"/>
    <mergeCell ref="B72:H72"/>
    <mergeCell ref="C75:F75"/>
    <mergeCell ref="B65:H65"/>
    <mergeCell ref="B74:F74"/>
    <mergeCell ref="B66:F66"/>
    <mergeCell ref="C67:F67"/>
    <mergeCell ref="C71:F71"/>
    <mergeCell ref="C86:F86"/>
    <mergeCell ref="D80:E80"/>
    <mergeCell ref="B84:F84"/>
    <mergeCell ref="B85:F85"/>
    <mergeCell ref="D76:E76"/>
    <mergeCell ref="D77:E77"/>
    <mergeCell ref="D51:F51"/>
    <mergeCell ref="D52:F52"/>
    <mergeCell ref="D53:F53"/>
    <mergeCell ref="C46:F46"/>
    <mergeCell ref="D47:F47"/>
    <mergeCell ref="D48:F48"/>
    <mergeCell ref="B58:F58"/>
    <mergeCell ref="C59:F59"/>
    <mergeCell ref="D54:F54"/>
    <mergeCell ref="D55:F55"/>
    <mergeCell ref="C56:F56"/>
    <mergeCell ref="B57:H57"/>
    <mergeCell ref="B39:F39"/>
    <mergeCell ref="B38:F38"/>
    <mergeCell ref="B49:B50"/>
    <mergeCell ref="C49:C50"/>
    <mergeCell ref="D49:D50"/>
    <mergeCell ref="C40:F40"/>
    <mergeCell ref="D41:F41"/>
    <mergeCell ref="D42:F42"/>
    <mergeCell ref="C43:F43"/>
    <mergeCell ref="B44:H44"/>
    <mergeCell ref="G49:G50"/>
    <mergeCell ref="H49:H50"/>
    <mergeCell ref="B45:F45"/>
    <mergeCell ref="C32:F32"/>
    <mergeCell ref="C33:F34"/>
    <mergeCell ref="D25:F25"/>
    <mergeCell ref="D26:F26"/>
    <mergeCell ref="D28:F28"/>
    <mergeCell ref="D29:F29"/>
    <mergeCell ref="D30:F30"/>
    <mergeCell ref="B23:F23"/>
    <mergeCell ref="B37:F37"/>
    <mergeCell ref="B2:H2"/>
    <mergeCell ref="B3:H3"/>
    <mergeCell ref="B9:B10"/>
    <mergeCell ref="B19:B20"/>
    <mergeCell ref="C24:F24"/>
    <mergeCell ref="B15:B16"/>
    <mergeCell ref="D6:F6"/>
    <mergeCell ref="B17:B18"/>
    <mergeCell ref="D31:F31"/>
    <mergeCell ref="B8:F8"/>
    <mergeCell ref="C9:F9"/>
    <mergeCell ref="C10:F10"/>
    <mergeCell ref="C20:F20"/>
    <mergeCell ref="C19:F19"/>
    <mergeCell ref="C18:F18"/>
    <mergeCell ref="C17:F17"/>
    <mergeCell ref="C16:F16"/>
    <mergeCell ref="C15:F15"/>
    <mergeCell ref="C14:F14"/>
    <mergeCell ref="C13:F13"/>
    <mergeCell ref="C12:F12"/>
    <mergeCell ref="C11:F11"/>
    <mergeCell ref="B11:B12"/>
    <mergeCell ref="B13:B14"/>
  </mergeCells>
  <dataValidations count="11">
    <dataValidation type="list" allowBlank="1" showInputMessage="1" showErrorMessage="1" sqref="G80" xr:uid="{1911A840-427F-4456-B640-C09E4050FD3A}">
      <formula1>"3,6,9,12,15"</formula1>
    </dataValidation>
    <dataValidation type="custom" allowBlank="1" showInputMessage="1" showErrorMessage="1" sqref="G117" xr:uid="{00000000-0002-0000-0100-000001000000}">
      <formula1>1-(G118+G119+G120)</formula1>
    </dataValidation>
    <dataValidation type="whole" allowBlank="1" showInputMessage="1" showErrorMessage="1" errorTitle="Valor errado" error="Quantidade fixa de dias. Prencher com 30" sqref="G87" xr:uid="{00000000-0002-0000-0100-000003000000}">
      <formula1>30</formula1>
      <formula2>30</formula2>
    </dataValidation>
    <dataValidation type="list" allowBlank="1" showInputMessage="1" showErrorMessage="1" sqref="G30" xr:uid="{00000000-0002-0000-0100-000004000000}">
      <formula1>"0, 50%, 100%"</formula1>
    </dataValidation>
    <dataValidation type="list" allowBlank="1" showInputMessage="1" showErrorMessage="1" sqref="G118" xr:uid="{00000000-0002-0000-0100-000005000000}">
      <mc:AlternateContent xmlns:x12ac="http://schemas.microsoft.com/office/spreadsheetml/2011/1/ac" xmlns:mc="http://schemas.openxmlformats.org/markup-compatibility/2006">
        <mc:Choice Requires="x12ac">
          <x12ac:list>"0,65%","1,65%"</x12ac:list>
        </mc:Choice>
        <mc:Fallback>
          <formula1>"0,65%,1,65%"</formula1>
        </mc:Fallback>
      </mc:AlternateContent>
    </dataValidation>
    <dataValidation type="list" allowBlank="1" showInputMessage="1" showErrorMessage="1" sqref="G119" xr:uid="{00000000-0002-0000-0100-000006000000}">
      <mc:AlternateContent xmlns:x12ac="http://schemas.microsoft.com/office/spreadsheetml/2011/1/ac" xmlns:mc="http://schemas.openxmlformats.org/markup-compatibility/2006">
        <mc:Choice Requires="x12ac">
          <x12ac:list>3%," 7,6%"</x12ac:list>
        </mc:Choice>
        <mc:Fallback>
          <formula1>"3%, 7,6%"</formula1>
        </mc:Fallback>
      </mc:AlternateContent>
    </dataValidation>
    <dataValidation type="list" allowBlank="1" showInputMessage="1" showErrorMessage="1" sqref="G28:G29" xr:uid="{00000000-0002-0000-0100-000007000000}">
      <formula1>"0, 20%"</formula1>
    </dataValidation>
    <dataValidation type="list" allowBlank="1" showInputMessage="1" showErrorMessage="1" sqref="E50" xr:uid="{00000000-0002-0000-0100-000008000000}">
      <formula1>"1%, 2%, 3%"</formula1>
    </dataValidation>
    <dataValidation type="list" allowBlank="1" showInputMessage="1" showErrorMessage="1" sqref="G27" xr:uid="{00000000-0002-0000-0100-000009000000}">
      <formula1>"0%, 10%, 20%, 40%"</formula1>
    </dataValidation>
    <dataValidation type="list" allowBlank="1" showInputMessage="1" showErrorMessage="1" sqref="G26" xr:uid="{00000000-0002-0000-0100-00000A000000}">
      <formula1>"0%, 30%"</formula1>
    </dataValidation>
    <dataValidation operator="equal" allowBlank="1" showInputMessage="1" showErrorMessage="1" errorTitle="Valor errado" error="Percentual fixo. Preencher com 40%." sqref="F76" xr:uid="{C85FB702-9BCC-41D9-A2DC-2B2AA8B28BEB}"/>
  </dataValidations>
  <pageMargins left="0.511811024" right="0.511811024" top="0.78740157499999996" bottom="0.78740157499999996" header="0.31496062000000002" footer="0.31496062000000002"/>
  <pageSetup paperSize="9" scale="61" fitToHeight="0" orientation="portrait" verticalDpi="300" r:id="rId1"/>
  <rowBreaks count="1" manualBreakCount="1">
    <brk id="72"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34C11-8A02-4C5D-8D89-82797B07117C}">
  <sheetPr>
    <tabColor theme="9"/>
    <pageSetUpPr fitToPage="1"/>
  </sheetPr>
  <dimension ref="B1:I147"/>
  <sheetViews>
    <sheetView showGridLines="0" zoomScale="120" zoomScaleNormal="120" workbookViewId="0">
      <selection activeCell="G150" sqref="G150"/>
    </sheetView>
  </sheetViews>
  <sheetFormatPr defaultColWidth="9.140625" defaultRowHeight="12.75" x14ac:dyDescent="0.2"/>
  <cols>
    <col min="1" max="1" width="3.5703125" style="62" customWidth="1"/>
    <col min="2" max="2" width="8.28515625" style="62" customWidth="1"/>
    <col min="3" max="3" width="39.140625" style="62" customWidth="1"/>
    <col min="4" max="4" width="29.140625" style="62" customWidth="1"/>
    <col min="5" max="5" width="8.140625" style="62" customWidth="1"/>
    <col min="6" max="6" width="9.140625" style="62" bestFit="1" customWidth="1"/>
    <col min="7" max="7" width="9.140625" style="62" customWidth="1"/>
    <col min="8" max="9" width="15.28515625" style="62" customWidth="1"/>
    <col min="10" max="16384" width="9.140625" style="62"/>
  </cols>
  <sheetData>
    <row r="1" spans="2:9" x14ac:dyDescent="0.2">
      <c r="C1" s="111"/>
      <c r="D1" s="12"/>
      <c r="E1" s="12"/>
      <c r="F1" s="12"/>
      <c r="G1" s="12"/>
      <c r="H1" s="12"/>
      <c r="I1" s="12"/>
    </row>
    <row r="2" spans="2:9" x14ac:dyDescent="0.2">
      <c r="B2" s="207" t="s">
        <v>48</v>
      </c>
      <c r="C2" s="207"/>
      <c r="D2" s="207"/>
      <c r="E2" s="207"/>
      <c r="F2" s="207"/>
      <c r="G2" s="207"/>
      <c r="H2" s="207"/>
      <c r="I2" s="98"/>
    </row>
    <row r="3" spans="2:9" x14ac:dyDescent="0.2">
      <c r="B3" s="208" t="s">
        <v>188</v>
      </c>
      <c r="C3" s="208"/>
      <c r="D3" s="208"/>
      <c r="E3" s="208"/>
      <c r="F3" s="208"/>
      <c r="G3" s="208"/>
      <c r="H3" s="208"/>
      <c r="I3" s="100"/>
    </row>
    <row r="4" spans="2:9" x14ac:dyDescent="0.2">
      <c r="B4" s="64"/>
      <c r="C4" s="64"/>
      <c r="D4" s="64"/>
      <c r="E4" s="64"/>
      <c r="F4" s="64"/>
      <c r="G4" s="64"/>
      <c r="H4" s="64"/>
      <c r="I4" s="64"/>
    </row>
    <row r="5" spans="2:9" x14ac:dyDescent="0.2">
      <c r="B5" s="64"/>
      <c r="C5" s="64"/>
      <c r="D5" s="64"/>
      <c r="E5" s="64"/>
      <c r="F5" s="64"/>
      <c r="G5" s="64"/>
      <c r="H5" s="64"/>
      <c r="I5" s="64"/>
    </row>
    <row r="6" spans="2:9" x14ac:dyDescent="0.2">
      <c r="B6" s="140" t="s">
        <v>127</v>
      </c>
      <c r="C6" s="140"/>
      <c r="D6" s="211" t="s">
        <v>205</v>
      </c>
      <c r="E6" s="212"/>
      <c r="F6" s="213"/>
      <c r="I6" s="13"/>
    </row>
    <row r="7" spans="2:9" x14ac:dyDescent="0.2">
      <c r="B7" s="64"/>
      <c r="C7" s="64"/>
      <c r="D7" s="64"/>
      <c r="E7" s="64"/>
      <c r="F7" s="64"/>
      <c r="G7" s="64"/>
      <c r="H7" s="64"/>
      <c r="I7" s="12"/>
    </row>
    <row r="8" spans="2:9" x14ac:dyDescent="0.2">
      <c r="B8" s="217" t="s">
        <v>49</v>
      </c>
      <c r="C8" s="217"/>
      <c r="D8" s="217"/>
      <c r="E8" s="217"/>
      <c r="F8" s="217"/>
      <c r="G8" s="141"/>
      <c r="H8" s="141"/>
      <c r="I8" s="63"/>
    </row>
    <row r="9" spans="2:9" x14ac:dyDescent="0.2">
      <c r="B9" s="209">
        <v>1</v>
      </c>
      <c r="C9" s="218" t="s">
        <v>50</v>
      </c>
      <c r="D9" s="218"/>
      <c r="E9" s="218"/>
      <c r="F9" s="218"/>
      <c r="G9" s="141"/>
      <c r="H9" s="141"/>
      <c r="I9" s="63"/>
    </row>
    <row r="10" spans="2:9" x14ac:dyDescent="0.2">
      <c r="B10" s="209"/>
      <c r="C10" s="219"/>
      <c r="D10" s="219"/>
      <c r="E10" s="219"/>
      <c r="F10" s="219"/>
      <c r="G10" s="141"/>
      <c r="H10" s="141"/>
      <c r="I10" s="63"/>
    </row>
    <row r="11" spans="2:9" x14ac:dyDescent="0.2">
      <c r="B11" s="209">
        <v>2</v>
      </c>
      <c r="C11" s="218" t="s">
        <v>51</v>
      </c>
      <c r="D11" s="218"/>
      <c r="E11" s="218"/>
      <c r="F11" s="218"/>
      <c r="G11" s="141"/>
      <c r="H11" s="141"/>
      <c r="I11" s="63"/>
    </row>
    <row r="12" spans="2:9" x14ac:dyDescent="0.2">
      <c r="B12" s="209"/>
      <c r="C12" s="219"/>
      <c r="D12" s="219"/>
      <c r="E12" s="219"/>
      <c r="F12" s="219"/>
      <c r="G12" s="141"/>
      <c r="H12" s="141"/>
      <c r="I12" s="63"/>
    </row>
    <row r="13" spans="2:9" x14ac:dyDescent="0.2">
      <c r="B13" s="209">
        <v>3</v>
      </c>
      <c r="C13" s="218" t="s">
        <v>52</v>
      </c>
      <c r="D13" s="218"/>
      <c r="E13" s="218"/>
      <c r="F13" s="218"/>
      <c r="G13" s="141"/>
      <c r="H13" s="141"/>
      <c r="I13" s="63"/>
    </row>
    <row r="14" spans="2:9" x14ac:dyDescent="0.2">
      <c r="B14" s="209"/>
      <c r="C14" s="221">
        <v>2044.99</v>
      </c>
      <c r="D14" s="221"/>
      <c r="E14" s="221"/>
      <c r="F14" s="221"/>
      <c r="G14" s="141"/>
      <c r="H14" s="141"/>
      <c r="I14" s="63"/>
    </row>
    <row r="15" spans="2:9" x14ac:dyDescent="0.2">
      <c r="B15" s="209">
        <v>4</v>
      </c>
      <c r="C15" s="218" t="s">
        <v>53</v>
      </c>
      <c r="D15" s="218"/>
      <c r="E15" s="218"/>
      <c r="F15" s="218"/>
      <c r="G15" s="141"/>
      <c r="H15" s="141"/>
      <c r="I15" s="63"/>
    </row>
    <row r="16" spans="2:9" x14ac:dyDescent="0.2">
      <c r="B16" s="209"/>
      <c r="C16" s="220">
        <v>46082</v>
      </c>
      <c r="D16" s="219"/>
      <c r="E16" s="219"/>
      <c r="F16" s="219"/>
      <c r="G16" s="141"/>
      <c r="H16" s="141"/>
      <c r="I16" s="63"/>
    </row>
    <row r="17" spans="2:9" x14ac:dyDescent="0.2">
      <c r="B17" s="209">
        <v>5</v>
      </c>
      <c r="C17" s="218" t="s">
        <v>54</v>
      </c>
      <c r="D17" s="218"/>
      <c r="E17" s="218"/>
      <c r="F17" s="218"/>
      <c r="G17" s="141"/>
      <c r="H17" s="141"/>
      <c r="I17" s="63"/>
    </row>
    <row r="18" spans="2:9" x14ac:dyDescent="0.2">
      <c r="B18" s="209"/>
      <c r="C18" s="219">
        <v>2025</v>
      </c>
      <c r="D18" s="219"/>
      <c r="E18" s="219"/>
      <c r="F18" s="219"/>
      <c r="G18" s="141"/>
      <c r="H18" s="141"/>
      <c r="I18" s="63"/>
    </row>
    <row r="19" spans="2:9" x14ac:dyDescent="0.2">
      <c r="B19" s="209">
        <v>6</v>
      </c>
      <c r="C19" s="218" t="s">
        <v>55</v>
      </c>
      <c r="D19" s="218"/>
      <c r="E19" s="218"/>
      <c r="F19" s="218"/>
      <c r="G19" s="141"/>
      <c r="H19" s="141"/>
      <c r="I19" s="63"/>
    </row>
    <row r="20" spans="2:9" x14ac:dyDescent="0.2">
      <c r="B20" s="209"/>
      <c r="C20" s="219"/>
      <c r="D20" s="219"/>
      <c r="E20" s="219"/>
      <c r="F20" s="219"/>
      <c r="G20" s="141"/>
      <c r="H20" s="141"/>
      <c r="I20" s="63"/>
    </row>
    <row r="21" spans="2:9" x14ac:dyDescent="0.2">
      <c r="B21" s="65"/>
      <c r="C21" s="65"/>
      <c r="D21" s="65"/>
      <c r="E21" s="65"/>
      <c r="F21" s="65"/>
      <c r="G21" s="66"/>
      <c r="H21" s="66"/>
      <c r="I21" s="63"/>
    </row>
    <row r="22" spans="2:9" x14ac:dyDescent="0.2">
      <c r="B22" s="67"/>
      <c r="C22" s="67"/>
      <c r="D22" s="67"/>
      <c r="E22" s="67"/>
      <c r="F22" s="67"/>
      <c r="G22" s="67"/>
      <c r="H22" s="146" t="s">
        <v>194</v>
      </c>
    </row>
    <row r="23" spans="2:9" x14ac:dyDescent="0.2">
      <c r="B23" s="226" t="s">
        <v>62</v>
      </c>
      <c r="C23" s="227"/>
      <c r="D23" s="227"/>
      <c r="E23" s="227"/>
      <c r="F23" s="227"/>
      <c r="G23" s="144"/>
      <c r="H23" s="145"/>
      <c r="I23" s="99"/>
    </row>
    <row r="24" spans="2:9" x14ac:dyDescent="0.2">
      <c r="B24" s="94">
        <v>1</v>
      </c>
      <c r="C24" s="203" t="s">
        <v>56</v>
      </c>
      <c r="D24" s="210"/>
      <c r="E24" s="210"/>
      <c r="F24" s="204"/>
      <c r="G24" s="143" t="s">
        <v>1</v>
      </c>
      <c r="H24" s="143" t="s">
        <v>47</v>
      </c>
      <c r="I24" s="99"/>
    </row>
    <row r="25" spans="2:9" ht="12.75" customHeight="1" x14ac:dyDescent="0.2">
      <c r="B25" s="14" t="s">
        <v>4</v>
      </c>
      <c r="C25" s="92" t="s">
        <v>17</v>
      </c>
      <c r="D25" s="214"/>
      <c r="E25" s="215"/>
      <c r="F25" s="216"/>
      <c r="G25" s="15"/>
      <c r="H25" s="31">
        <v>2044.99</v>
      </c>
      <c r="I25" s="105"/>
    </row>
    <row r="26" spans="2:9" x14ac:dyDescent="0.2">
      <c r="B26" s="14" t="s">
        <v>5</v>
      </c>
      <c r="C26" s="92" t="s">
        <v>24</v>
      </c>
      <c r="D26" s="214" t="s">
        <v>128</v>
      </c>
      <c r="E26" s="215"/>
      <c r="F26" s="216"/>
      <c r="G26" s="32"/>
      <c r="H26" s="16">
        <f>TRUNC(H$25*$G26,2)</f>
        <v>0</v>
      </c>
      <c r="I26" s="101"/>
    </row>
    <row r="27" spans="2:9" x14ac:dyDescent="0.2">
      <c r="B27" s="14" t="s">
        <v>6</v>
      </c>
      <c r="C27" s="93" t="s">
        <v>25</v>
      </c>
      <c r="D27" s="170" t="s">
        <v>169</v>
      </c>
      <c r="E27" s="181" t="s">
        <v>196</v>
      </c>
      <c r="F27" s="180">
        <v>1621</v>
      </c>
      <c r="G27" s="32"/>
      <c r="H27" s="16">
        <f>TRUNC(F$27*$G27,2)</f>
        <v>0</v>
      </c>
      <c r="I27" s="101"/>
    </row>
    <row r="28" spans="2:9" x14ac:dyDescent="0.2">
      <c r="B28" s="14" t="s">
        <v>7</v>
      </c>
      <c r="C28" s="93" t="s">
        <v>0</v>
      </c>
      <c r="D28" s="214" t="s">
        <v>176</v>
      </c>
      <c r="E28" s="215"/>
      <c r="F28" s="216"/>
      <c r="G28" s="33"/>
      <c r="H28" s="71">
        <f>TRUNC(((H$25+H26)*$G28)/220*8*15,2)</f>
        <v>0</v>
      </c>
      <c r="I28" s="102"/>
    </row>
    <row r="29" spans="2:9" x14ac:dyDescent="0.2">
      <c r="B29" s="121" t="s">
        <v>8</v>
      </c>
      <c r="C29" s="122" t="s">
        <v>26</v>
      </c>
      <c r="D29" s="223" t="s">
        <v>176</v>
      </c>
      <c r="E29" s="224"/>
      <c r="F29" s="225"/>
      <c r="G29" s="123"/>
      <c r="H29" s="124">
        <f>TRUNC(((H25+H26)*$G29)/220*1*15,2)</f>
        <v>0</v>
      </c>
      <c r="I29" s="125" t="s">
        <v>181</v>
      </c>
    </row>
    <row r="30" spans="2:9" x14ac:dyDescent="0.2">
      <c r="B30" s="126" t="s">
        <v>9</v>
      </c>
      <c r="C30" s="122" t="s">
        <v>104</v>
      </c>
      <c r="D30" s="223" t="s">
        <v>177</v>
      </c>
      <c r="E30" s="224"/>
      <c r="F30" s="225"/>
      <c r="G30" s="127"/>
      <c r="H30" s="124">
        <f>TRUNC($G$34*H34*(1+$G$30),2)</f>
        <v>0</v>
      </c>
      <c r="I30" s="125" t="s">
        <v>181</v>
      </c>
    </row>
    <row r="31" spans="2:9" x14ac:dyDescent="0.2">
      <c r="B31" s="14" t="s">
        <v>10</v>
      </c>
      <c r="C31" s="93" t="s">
        <v>2</v>
      </c>
      <c r="D31" s="214"/>
      <c r="E31" s="215"/>
      <c r="F31" s="216"/>
      <c r="G31" s="33"/>
      <c r="H31" s="52"/>
      <c r="I31" s="103"/>
    </row>
    <row r="32" spans="2:9" x14ac:dyDescent="0.2">
      <c r="B32" s="14" t="s">
        <v>129</v>
      </c>
      <c r="C32" s="203" t="s">
        <v>57</v>
      </c>
      <c r="D32" s="210"/>
      <c r="E32" s="210"/>
      <c r="F32" s="204"/>
      <c r="G32" s="27"/>
      <c r="H32" s="17">
        <f>SUM(H25:H31)</f>
        <v>2044.99</v>
      </c>
      <c r="I32" s="18"/>
    </row>
    <row r="33" spans="2:9" ht="22.5" x14ac:dyDescent="0.2">
      <c r="B33" s="98"/>
      <c r="C33" s="222" t="s">
        <v>118</v>
      </c>
      <c r="D33" s="222"/>
      <c r="E33" s="222"/>
      <c r="F33" s="222"/>
      <c r="G33" s="55" t="s">
        <v>105</v>
      </c>
      <c r="H33" s="54" t="s">
        <v>122</v>
      </c>
      <c r="I33" s="2"/>
    </row>
    <row r="34" spans="2:9" x14ac:dyDescent="0.2">
      <c r="B34" s="98"/>
      <c r="C34" s="222"/>
      <c r="D34" s="222"/>
      <c r="E34" s="222"/>
      <c r="F34" s="222"/>
      <c r="G34" s="53"/>
      <c r="H34" s="34">
        <f>IF($G$34="",0,TRUNC((H25+H26+H27)/220,2))</f>
        <v>0</v>
      </c>
      <c r="I34" s="104"/>
    </row>
    <row r="35" spans="2:9" x14ac:dyDescent="0.2">
      <c r="B35" s="98"/>
      <c r="C35" s="98"/>
      <c r="D35" s="98"/>
      <c r="E35" s="98"/>
      <c r="F35" s="98"/>
      <c r="G35" s="98"/>
      <c r="H35" s="72"/>
      <c r="I35" s="18"/>
    </row>
    <row r="36" spans="2:9" x14ac:dyDescent="0.2">
      <c r="B36" s="98"/>
      <c r="C36" s="98"/>
      <c r="D36" s="98"/>
      <c r="E36" s="98"/>
      <c r="F36" s="98"/>
      <c r="G36" s="98"/>
      <c r="H36" s="72"/>
      <c r="I36" s="18"/>
    </row>
    <row r="37" spans="2:9" ht="12.75" customHeight="1" x14ac:dyDescent="0.2">
      <c r="B37" s="226" t="s">
        <v>63</v>
      </c>
      <c r="C37" s="227"/>
      <c r="D37" s="227"/>
      <c r="E37" s="227"/>
      <c r="F37" s="227"/>
      <c r="G37" s="144"/>
      <c r="H37" s="145"/>
      <c r="I37" s="99"/>
    </row>
    <row r="38" spans="2:9" x14ac:dyDescent="0.2">
      <c r="B38" s="229"/>
      <c r="C38" s="230"/>
      <c r="D38" s="230"/>
      <c r="E38" s="230"/>
      <c r="F38" s="230"/>
      <c r="G38" s="61"/>
      <c r="H38" s="61"/>
      <c r="I38" s="99"/>
    </row>
    <row r="39" spans="2:9" x14ac:dyDescent="0.2">
      <c r="B39" s="228" t="s">
        <v>36</v>
      </c>
      <c r="C39" s="228"/>
      <c r="D39" s="228"/>
      <c r="E39" s="228"/>
      <c r="F39" s="228"/>
      <c r="G39" s="61"/>
      <c r="H39" s="61"/>
      <c r="I39" s="99"/>
    </row>
    <row r="40" spans="2:9" x14ac:dyDescent="0.2">
      <c r="B40" s="143" t="s">
        <v>38</v>
      </c>
      <c r="C40" s="236" t="s">
        <v>27</v>
      </c>
      <c r="D40" s="237"/>
      <c r="E40" s="237"/>
      <c r="F40" s="238"/>
      <c r="G40" s="94" t="s">
        <v>1</v>
      </c>
      <c r="H40" s="94" t="s">
        <v>47</v>
      </c>
      <c r="I40" s="99"/>
    </row>
    <row r="41" spans="2:9" x14ac:dyDescent="0.2">
      <c r="B41" s="14" t="s">
        <v>4</v>
      </c>
      <c r="C41" s="92" t="s">
        <v>106</v>
      </c>
      <c r="D41" s="214" t="s">
        <v>130</v>
      </c>
      <c r="E41" s="215"/>
      <c r="F41" s="216"/>
      <c r="G41" s="149">
        <f>1/12</f>
        <v>8.3333333333333329E-2</v>
      </c>
      <c r="H41" s="150">
        <f>TRUNC((H$32*$G41),2)</f>
        <v>170.41</v>
      </c>
      <c r="I41" s="105"/>
    </row>
    <row r="42" spans="2:9" x14ac:dyDescent="0.2">
      <c r="B42" s="14" t="s">
        <v>5</v>
      </c>
      <c r="C42" s="92" t="s">
        <v>61</v>
      </c>
      <c r="D42" s="214" t="s">
        <v>132</v>
      </c>
      <c r="E42" s="215"/>
      <c r="F42" s="216"/>
      <c r="G42" s="19">
        <f>(1/12)+(1/3/12)</f>
        <v>0.1111111111111111</v>
      </c>
      <c r="H42" s="20">
        <f>TRUNC((H$32*$G42),2)</f>
        <v>227.22</v>
      </c>
      <c r="I42" s="105"/>
    </row>
    <row r="43" spans="2:9" x14ac:dyDescent="0.2">
      <c r="B43" s="14" t="s">
        <v>131</v>
      </c>
      <c r="C43" s="203" t="s">
        <v>57</v>
      </c>
      <c r="D43" s="210"/>
      <c r="E43" s="210"/>
      <c r="F43" s="204"/>
      <c r="G43" s="21">
        <f>TRUNC(SUM(G41:G42),4)</f>
        <v>0.19439999999999999</v>
      </c>
      <c r="H43" s="17">
        <f>SUM(H41:H42)</f>
        <v>397.63</v>
      </c>
      <c r="I43" s="18"/>
    </row>
    <row r="44" spans="2:9" x14ac:dyDescent="0.2">
      <c r="B44" s="239"/>
      <c r="C44" s="240"/>
      <c r="D44" s="240"/>
      <c r="E44" s="240"/>
      <c r="F44" s="240"/>
      <c r="G44" s="240"/>
      <c r="H44" s="241"/>
      <c r="I44" s="98"/>
    </row>
    <row r="45" spans="2:9" ht="30" customHeight="1" x14ac:dyDescent="0.2">
      <c r="B45" s="245" t="s">
        <v>64</v>
      </c>
      <c r="C45" s="246"/>
      <c r="D45" s="246"/>
      <c r="E45" s="246"/>
      <c r="F45" s="247"/>
      <c r="G45" s="147"/>
      <c r="H45" s="148"/>
      <c r="I45" s="106"/>
    </row>
    <row r="46" spans="2:9" x14ac:dyDescent="0.2">
      <c r="B46" s="94" t="s">
        <v>39</v>
      </c>
      <c r="C46" s="203" t="s">
        <v>65</v>
      </c>
      <c r="D46" s="210"/>
      <c r="E46" s="210"/>
      <c r="F46" s="204"/>
      <c r="G46" s="94" t="s">
        <v>1</v>
      </c>
      <c r="H46" s="94" t="s">
        <v>47</v>
      </c>
      <c r="I46" s="99"/>
    </row>
    <row r="47" spans="2:9" x14ac:dyDescent="0.2">
      <c r="B47" s="14" t="s">
        <v>4</v>
      </c>
      <c r="C47" s="92" t="s">
        <v>30</v>
      </c>
      <c r="D47" s="214" t="s">
        <v>133</v>
      </c>
      <c r="E47" s="215"/>
      <c r="F47" s="216"/>
      <c r="G47" s="19">
        <v>0.2</v>
      </c>
      <c r="H47" s="20">
        <f>TRUNC((H$32+H$43)*$G47,2)</f>
        <v>488.52</v>
      </c>
      <c r="I47" s="105"/>
    </row>
    <row r="48" spans="2:9" x14ac:dyDescent="0.2">
      <c r="B48" s="14" t="s">
        <v>5</v>
      </c>
      <c r="C48" s="80" t="s">
        <v>31</v>
      </c>
      <c r="D48" s="214" t="s">
        <v>134</v>
      </c>
      <c r="E48" s="215"/>
      <c r="F48" s="216"/>
      <c r="G48" s="19">
        <v>2.5000000000000001E-2</v>
      </c>
      <c r="H48" s="20">
        <f>TRUNC((H$32+H$43)*$G48,2)</f>
        <v>61.06</v>
      </c>
      <c r="I48" s="105"/>
    </row>
    <row r="49" spans="2:9" x14ac:dyDescent="0.2">
      <c r="B49" s="231" t="s">
        <v>6</v>
      </c>
      <c r="C49" s="233" t="s">
        <v>98</v>
      </c>
      <c r="D49" s="235" t="s">
        <v>140</v>
      </c>
      <c r="E49" s="8" t="s">
        <v>99</v>
      </c>
      <c r="F49" s="8" t="s">
        <v>97</v>
      </c>
      <c r="G49" s="242">
        <f>E50*F50</f>
        <v>0.03</v>
      </c>
      <c r="H49" s="244">
        <f>TRUNC((H$32+H$43)*$G49,2)</f>
        <v>73.27</v>
      </c>
      <c r="I49" s="107"/>
    </row>
    <row r="50" spans="2:9" x14ac:dyDescent="0.2">
      <c r="B50" s="232"/>
      <c r="C50" s="234"/>
      <c r="D50" s="235"/>
      <c r="E50" s="35">
        <v>0.03</v>
      </c>
      <c r="F50" s="36">
        <v>1</v>
      </c>
      <c r="G50" s="243"/>
      <c r="H50" s="244"/>
      <c r="I50" s="107"/>
    </row>
    <row r="51" spans="2:9" x14ac:dyDescent="0.2">
      <c r="B51" s="14" t="s">
        <v>7</v>
      </c>
      <c r="C51" s="92" t="s">
        <v>29</v>
      </c>
      <c r="D51" s="214" t="s">
        <v>135</v>
      </c>
      <c r="E51" s="215"/>
      <c r="F51" s="216"/>
      <c r="G51" s="19">
        <v>1.4999999999999999E-2</v>
      </c>
      <c r="H51" s="20">
        <f>TRUNC((H$32+H$43)*$G51,2)</f>
        <v>36.630000000000003</v>
      </c>
      <c r="I51" s="105"/>
    </row>
    <row r="52" spans="2:9" x14ac:dyDescent="0.2">
      <c r="B52" s="14" t="s">
        <v>8</v>
      </c>
      <c r="C52" s="92" t="s">
        <v>32</v>
      </c>
      <c r="D52" s="214" t="s">
        <v>136</v>
      </c>
      <c r="E52" s="215"/>
      <c r="F52" s="216"/>
      <c r="G52" s="19">
        <v>0.01</v>
      </c>
      <c r="H52" s="20">
        <f>TRUNC((H$32+H$43)*$G52,2)</f>
        <v>24.42</v>
      </c>
      <c r="I52" s="105"/>
    </row>
    <row r="53" spans="2:9" x14ac:dyDescent="0.2">
      <c r="B53" s="14" t="s">
        <v>9</v>
      </c>
      <c r="C53" s="92" t="s">
        <v>33</v>
      </c>
      <c r="D53" s="214" t="s">
        <v>137</v>
      </c>
      <c r="E53" s="215"/>
      <c r="F53" s="216"/>
      <c r="G53" s="19">
        <v>6.0000000000000001E-3</v>
      </c>
      <c r="H53" s="20">
        <f>TRUNC((H$32+H$43)*$G53,2)</f>
        <v>14.65</v>
      </c>
      <c r="I53" s="105"/>
    </row>
    <row r="54" spans="2:9" x14ac:dyDescent="0.2">
      <c r="B54" s="14" t="s">
        <v>10</v>
      </c>
      <c r="C54" s="92" t="s">
        <v>34</v>
      </c>
      <c r="D54" s="214" t="s">
        <v>138</v>
      </c>
      <c r="E54" s="215"/>
      <c r="F54" s="216"/>
      <c r="G54" s="19">
        <v>2E-3</v>
      </c>
      <c r="H54" s="20">
        <f>TRUNC((H$32+H$43)*$G54,2)</f>
        <v>4.88</v>
      </c>
      <c r="I54" s="105"/>
    </row>
    <row r="55" spans="2:9" x14ac:dyDescent="0.2">
      <c r="B55" s="14" t="s">
        <v>11</v>
      </c>
      <c r="C55" s="92" t="s">
        <v>35</v>
      </c>
      <c r="D55" s="214" t="s">
        <v>139</v>
      </c>
      <c r="E55" s="215"/>
      <c r="F55" s="216"/>
      <c r="G55" s="19">
        <v>0.08</v>
      </c>
      <c r="H55" s="20">
        <f>TRUNC((H$32+H$43)*$G55,2)</f>
        <v>195.4</v>
      </c>
      <c r="I55" s="105"/>
    </row>
    <row r="56" spans="2:9" x14ac:dyDescent="0.2">
      <c r="B56" s="14" t="s">
        <v>141</v>
      </c>
      <c r="C56" s="203" t="s">
        <v>57</v>
      </c>
      <c r="D56" s="210"/>
      <c r="E56" s="210"/>
      <c r="F56" s="204"/>
      <c r="G56" s="22">
        <f>SUM(G47:G55)</f>
        <v>0.36800000000000005</v>
      </c>
      <c r="H56" s="17">
        <f>SUM(H47:H55)</f>
        <v>898.82999999999981</v>
      </c>
      <c r="I56" s="18"/>
    </row>
    <row r="57" spans="2:9" x14ac:dyDescent="0.2">
      <c r="B57" s="248"/>
      <c r="C57" s="249"/>
      <c r="D57" s="249"/>
      <c r="E57" s="249"/>
      <c r="F57" s="249"/>
      <c r="G57" s="249"/>
      <c r="H57" s="250"/>
      <c r="I57" s="116"/>
    </row>
    <row r="58" spans="2:9" ht="12.75" customHeight="1" x14ac:dyDescent="0.2">
      <c r="B58" s="245" t="s">
        <v>37</v>
      </c>
      <c r="C58" s="246"/>
      <c r="D58" s="246"/>
      <c r="E58" s="246"/>
      <c r="F58" s="247"/>
      <c r="G58" s="147"/>
      <c r="H58" s="148"/>
      <c r="I58" s="116"/>
    </row>
    <row r="59" spans="2:9" x14ac:dyDescent="0.2">
      <c r="B59" s="94" t="s">
        <v>40</v>
      </c>
      <c r="C59" s="203" t="s">
        <v>41</v>
      </c>
      <c r="D59" s="210"/>
      <c r="E59" s="210"/>
      <c r="F59" s="210"/>
      <c r="G59" s="81"/>
      <c r="H59" s="94" t="s">
        <v>47</v>
      </c>
      <c r="I59" s="99"/>
    </row>
    <row r="60" spans="2:9" ht="12.75" customHeight="1" x14ac:dyDescent="0.2">
      <c r="B60" s="14" t="s">
        <v>4</v>
      </c>
      <c r="C60" s="92" t="s">
        <v>220</v>
      </c>
      <c r="D60" s="170" t="s">
        <v>144</v>
      </c>
      <c r="E60" s="171"/>
      <c r="F60" s="171"/>
      <c r="G60" s="172"/>
      <c r="H60" s="37">
        <f>IF((TRUNC((9.4*2*22)-(H$25*6%),2))&lt;0,"0,00",(TRUNC((9.4*2*22)-(H$25*6%),2)))</f>
        <v>290.89999999999998</v>
      </c>
      <c r="I60" s="117"/>
    </row>
    <row r="61" spans="2:9" ht="12.75" customHeight="1" x14ac:dyDescent="0.2">
      <c r="B61" s="14" t="s">
        <v>5</v>
      </c>
      <c r="C61" s="92" t="s">
        <v>221</v>
      </c>
      <c r="D61" s="170" t="s">
        <v>145</v>
      </c>
      <c r="E61" s="171"/>
      <c r="F61" s="171"/>
      <c r="G61" s="172"/>
      <c r="H61" s="37">
        <f>50.67*22</f>
        <v>1114.74</v>
      </c>
      <c r="I61" s="117"/>
    </row>
    <row r="62" spans="2:9" x14ac:dyDescent="0.2">
      <c r="B62" s="14" t="s">
        <v>6</v>
      </c>
      <c r="C62" s="92" t="s">
        <v>219</v>
      </c>
      <c r="D62" s="170" t="s">
        <v>217</v>
      </c>
      <c r="E62" s="171"/>
      <c r="F62" s="171"/>
      <c r="G62" s="172"/>
      <c r="H62" s="37">
        <v>871.98</v>
      </c>
      <c r="I62" s="117"/>
    </row>
    <row r="63" spans="2:9" s="73" customFormat="1" x14ac:dyDescent="0.2">
      <c r="B63" s="14" t="s">
        <v>7</v>
      </c>
      <c r="C63" s="92" t="s">
        <v>222</v>
      </c>
      <c r="D63" s="170"/>
      <c r="E63" s="171"/>
      <c r="F63" s="171"/>
      <c r="G63" s="172"/>
      <c r="H63" s="37">
        <v>21.6</v>
      </c>
      <c r="I63" s="117"/>
    </row>
    <row r="64" spans="2:9" x14ac:dyDescent="0.2">
      <c r="B64" s="14" t="s">
        <v>142</v>
      </c>
      <c r="C64" s="203" t="s">
        <v>57</v>
      </c>
      <c r="D64" s="210"/>
      <c r="E64" s="210"/>
      <c r="F64" s="210"/>
      <c r="G64" s="81"/>
      <c r="H64" s="17">
        <f>SUM(H60:H63)</f>
        <v>2299.2199999999998</v>
      </c>
      <c r="I64" s="18"/>
    </row>
    <row r="65" spans="2:9" x14ac:dyDescent="0.2">
      <c r="B65" s="239"/>
      <c r="C65" s="240"/>
      <c r="D65" s="240"/>
      <c r="E65" s="240"/>
      <c r="F65" s="240"/>
      <c r="G65" s="240"/>
      <c r="H65" s="240"/>
      <c r="I65" s="98"/>
    </row>
    <row r="66" spans="2:9" x14ac:dyDescent="0.2">
      <c r="B66" s="253" t="s">
        <v>67</v>
      </c>
      <c r="C66" s="254"/>
      <c r="D66" s="254"/>
      <c r="E66" s="254"/>
      <c r="F66" s="254"/>
      <c r="G66" s="151"/>
      <c r="H66" s="151"/>
      <c r="I66" s="98"/>
    </row>
    <row r="67" spans="2:9" x14ac:dyDescent="0.2">
      <c r="B67" s="94">
        <v>2</v>
      </c>
      <c r="C67" s="203" t="s">
        <v>66</v>
      </c>
      <c r="D67" s="210"/>
      <c r="E67" s="210"/>
      <c r="F67" s="210"/>
      <c r="G67" s="81"/>
      <c r="H67" s="94" t="s">
        <v>47</v>
      </c>
      <c r="I67" s="99"/>
    </row>
    <row r="68" spans="2:9" x14ac:dyDescent="0.2">
      <c r="B68" s="14" t="s">
        <v>38</v>
      </c>
      <c r="C68" s="82" t="s">
        <v>27</v>
      </c>
      <c r="D68" s="170" t="s">
        <v>131</v>
      </c>
      <c r="E68" s="171"/>
      <c r="F68" s="171"/>
      <c r="G68" s="172"/>
      <c r="H68" s="20">
        <f>H43</f>
        <v>397.63</v>
      </c>
      <c r="I68" s="105"/>
    </row>
    <row r="69" spans="2:9" x14ac:dyDescent="0.2">
      <c r="B69" s="14" t="s">
        <v>39</v>
      </c>
      <c r="C69" s="82" t="s">
        <v>28</v>
      </c>
      <c r="D69" s="170" t="s">
        <v>141</v>
      </c>
      <c r="E69" s="171"/>
      <c r="F69" s="171"/>
      <c r="G69" s="172"/>
      <c r="H69" s="20">
        <f>H56</f>
        <v>898.82999999999981</v>
      </c>
      <c r="I69" s="105"/>
    </row>
    <row r="70" spans="2:9" x14ac:dyDescent="0.2">
      <c r="B70" s="14" t="s">
        <v>40</v>
      </c>
      <c r="C70" s="82" t="s">
        <v>41</v>
      </c>
      <c r="D70" s="170" t="s">
        <v>142</v>
      </c>
      <c r="E70" s="171"/>
      <c r="F70" s="171"/>
      <c r="G70" s="172"/>
      <c r="H70" s="20">
        <f>H64</f>
        <v>2299.2199999999998</v>
      </c>
      <c r="I70" s="105"/>
    </row>
    <row r="71" spans="2:9" x14ac:dyDescent="0.2">
      <c r="B71" s="14" t="s">
        <v>143</v>
      </c>
      <c r="C71" s="203" t="s">
        <v>57</v>
      </c>
      <c r="D71" s="210"/>
      <c r="E71" s="210"/>
      <c r="F71" s="210"/>
      <c r="G71" s="81"/>
      <c r="H71" s="17">
        <f>SUM(H68:H70)</f>
        <v>3595.6799999999994</v>
      </c>
      <c r="I71" s="18"/>
    </row>
    <row r="72" spans="2:9" x14ac:dyDescent="0.2">
      <c r="B72" s="240"/>
      <c r="C72" s="240"/>
      <c r="D72" s="240"/>
      <c r="E72" s="240"/>
      <c r="F72" s="240"/>
      <c r="G72" s="240"/>
      <c r="H72" s="240"/>
      <c r="I72" s="99"/>
    </row>
    <row r="73" spans="2:9" x14ac:dyDescent="0.2">
      <c r="B73" s="98"/>
      <c r="C73" s="98"/>
      <c r="D73" s="98"/>
      <c r="E73" s="98"/>
      <c r="F73" s="98"/>
      <c r="G73" s="98"/>
      <c r="H73" s="98"/>
      <c r="I73" s="99"/>
    </row>
    <row r="74" spans="2:9" x14ac:dyDescent="0.2">
      <c r="B74" s="226" t="s">
        <v>68</v>
      </c>
      <c r="C74" s="227"/>
      <c r="D74" s="227"/>
      <c r="E74" s="227"/>
      <c r="F74" s="252"/>
      <c r="G74" s="144"/>
      <c r="H74" s="145"/>
      <c r="I74" s="99"/>
    </row>
    <row r="75" spans="2:9" x14ac:dyDescent="0.2">
      <c r="B75" s="94">
        <v>3</v>
      </c>
      <c r="C75" s="203" t="s">
        <v>58</v>
      </c>
      <c r="D75" s="210"/>
      <c r="E75" s="210"/>
      <c r="F75" s="251"/>
      <c r="G75" s="94" t="s">
        <v>1</v>
      </c>
      <c r="H75" s="94" t="s">
        <v>47</v>
      </c>
      <c r="I75" s="99"/>
    </row>
    <row r="76" spans="2:9" x14ac:dyDescent="0.2">
      <c r="B76" s="14" t="s">
        <v>4</v>
      </c>
      <c r="C76" s="92" t="s">
        <v>202</v>
      </c>
      <c r="D76" s="214" t="s">
        <v>170</v>
      </c>
      <c r="E76" s="216"/>
      <c r="F76" s="187">
        <f>TRUNC(H$55*0.4,2)</f>
        <v>78.16</v>
      </c>
      <c r="G76" s="188"/>
      <c r="H76" s="189"/>
      <c r="I76" s="18"/>
    </row>
    <row r="77" spans="2:9" x14ac:dyDescent="0.2">
      <c r="B77" s="14" t="s">
        <v>5</v>
      </c>
      <c r="C77" s="92" t="s">
        <v>95</v>
      </c>
      <c r="D77" s="255" t="s">
        <v>178</v>
      </c>
      <c r="E77" s="259"/>
      <c r="F77" s="187">
        <f>TRUNC((H$32+H$43+H$55+H$64-H60)/12,2)</f>
        <v>387.19</v>
      </c>
      <c r="G77" s="190"/>
      <c r="H77" s="188"/>
      <c r="I77" s="105"/>
    </row>
    <row r="78" spans="2:9" x14ac:dyDescent="0.2">
      <c r="B78" s="14" t="s">
        <v>6</v>
      </c>
      <c r="C78" s="83" t="s">
        <v>94</v>
      </c>
      <c r="D78" s="170" t="s">
        <v>203</v>
      </c>
      <c r="E78" s="171"/>
      <c r="F78" s="191"/>
      <c r="G78" s="38">
        <v>0.5</v>
      </c>
      <c r="H78" s="23">
        <f>TRUNC((F$77+F76)*$G78,2)</f>
        <v>232.67</v>
      </c>
      <c r="I78" s="192"/>
    </row>
    <row r="79" spans="2:9" x14ac:dyDescent="0.2">
      <c r="B79" s="14" t="s">
        <v>7</v>
      </c>
      <c r="C79" s="83" t="s">
        <v>96</v>
      </c>
      <c r="D79" s="170" t="s">
        <v>204</v>
      </c>
      <c r="E79" s="171"/>
      <c r="F79" s="172"/>
      <c r="G79" s="182">
        <f>1-G78</f>
        <v>0.5</v>
      </c>
      <c r="H79" s="86">
        <f>(TRUNC(F$76*$G79,2))</f>
        <v>39.08</v>
      </c>
      <c r="I79" s="105"/>
    </row>
    <row r="80" spans="2:9" x14ac:dyDescent="0.2">
      <c r="B80" s="14" t="s">
        <v>8</v>
      </c>
      <c r="C80" s="83" t="s">
        <v>175</v>
      </c>
      <c r="D80" s="255" t="s">
        <v>195</v>
      </c>
      <c r="E80" s="256"/>
      <c r="F80" s="39">
        <v>12</v>
      </c>
      <c r="G80" s="39">
        <v>3</v>
      </c>
      <c r="H80" s="20">
        <f>TRUNC(((H$32+H$43+H$56)/30)*$G80/$F80,2)</f>
        <v>27.84</v>
      </c>
      <c r="I80" s="105"/>
    </row>
    <row r="81" spans="2:9" x14ac:dyDescent="0.2">
      <c r="B81" s="14" t="s">
        <v>147</v>
      </c>
      <c r="C81" s="203" t="s">
        <v>57</v>
      </c>
      <c r="D81" s="210"/>
      <c r="E81" s="210"/>
      <c r="F81" s="210"/>
      <c r="G81" s="81"/>
      <c r="H81" s="17">
        <f>H$78+H$79+H$80</f>
        <v>299.58999999999997</v>
      </c>
      <c r="I81" s="18"/>
    </row>
    <row r="82" spans="2:9" x14ac:dyDescent="0.2">
      <c r="B82" s="95"/>
      <c r="C82" s="95"/>
      <c r="D82" s="95"/>
      <c r="E82" s="95"/>
      <c r="F82" s="95"/>
      <c r="G82" s="95"/>
      <c r="H82" s="95"/>
      <c r="I82" s="95"/>
    </row>
    <row r="83" spans="2:9" x14ac:dyDescent="0.2">
      <c r="B83" s="98"/>
      <c r="C83" s="98"/>
      <c r="D83" s="98"/>
      <c r="E83" s="98"/>
      <c r="F83" s="98"/>
      <c r="G83" s="98"/>
      <c r="H83" s="98"/>
      <c r="I83" s="99"/>
    </row>
    <row r="84" spans="2:9" x14ac:dyDescent="0.2">
      <c r="B84" s="226" t="s">
        <v>69</v>
      </c>
      <c r="C84" s="227"/>
      <c r="D84" s="227"/>
      <c r="E84" s="227"/>
      <c r="F84" s="252"/>
      <c r="G84" s="144"/>
      <c r="H84" s="145"/>
      <c r="I84" s="99"/>
    </row>
    <row r="85" spans="2:9" x14ac:dyDescent="0.2">
      <c r="B85" s="257" t="s">
        <v>87</v>
      </c>
      <c r="C85" s="258"/>
      <c r="D85" s="258"/>
      <c r="E85" s="258"/>
      <c r="F85" s="258"/>
      <c r="G85" s="152"/>
      <c r="H85" s="153"/>
      <c r="I85" s="99"/>
    </row>
    <row r="86" spans="2:9" x14ac:dyDescent="0.2">
      <c r="B86" s="94" t="s">
        <v>14</v>
      </c>
      <c r="C86" s="203" t="s">
        <v>88</v>
      </c>
      <c r="D86" s="210"/>
      <c r="E86" s="210"/>
      <c r="F86" s="204"/>
      <c r="G86" s="94" t="s">
        <v>100</v>
      </c>
      <c r="H86" s="94" t="s">
        <v>47</v>
      </c>
      <c r="I86" s="99"/>
    </row>
    <row r="87" spans="2:9" x14ac:dyDescent="0.2">
      <c r="B87" s="14" t="s">
        <v>4</v>
      </c>
      <c r="C87" s="92" t="s">
        <v>201</v>
      </c>
      <c r="D87" s="170" t="s">
        <v>153</v>
      </c>
      <c r="E87" s="171"/>
      <c r="F87" s="172"/>
      <c r="G87" s="39">
        <v>30</v>
      </c>
      <c r="H87" s="20">
        <f>TRUNC((F$89*$G87)/12,2)</f>
        <v>495</v>
      </c>
      <c r="I87" s="105"/>
    </row>
    <row r="88" spans="2:9" ht="22.5" x14ac:dyDescent="0.2">
      <c r="B88" s="14" t="s">
        <v>5</v>
      </c>
      <c r="C88" s="84" t="s">
        <v>159</v>
      </c>
      <c r="D88" s="173" t="s">
        <v>160</v>
      </c>
      <c r="E88" s="174"/>
      <c r="F88" s="175"/>
      <c r="G88" s="60">
        <v>8</v>
      </c>
      <c r="H88" s="20">
        <f>TRUNC((F$89*$G88)/12,2)</f>
        <v>132</v>
      </c>
      <c r="I88" s="105"/>
    </row>
    <row r="89" spans="2:9" x14ac:dyDescent="0.2">
      <c r="B89" s="14" t="s">
        <v>6</v>
      </c>
      <c r="C89" s="92" t="s">
        <v>107</v>
      </c>
      <c r="D89" s="170" t="s">
        <v>146</v>
      </c>
      <c r="E89" s="171"/>
      <c r="F89" s="186">
        <f>TRUNC((H$32+H$71+H$81)/30,2)</f>
        <v>198</v>
      </c>
      <c r="G89" s="185"/>
      <c r="H89" s="184"/>
      <c r="I89" s="183"/>
    </row>
    <row r="90" spans="2:9" x14ac:dyDescent="0.2">
      <c r="B90" s="14" t="s">
        <v>148</v>
      </c>
      <c r="C90" s="203" t="s">
        <v>57</v>
      </c>
      <c r="D90" s="210"/>
      <c r="E90" s="210"/>
      <c r="F90" s="210"/>
      <c r="G90" s="81"/>
      <c r="H90" s="17">
        <f>TRUNC(H$87+H$88,2)</f>
        <v>627</v>
      </c>
      <c r="I90" s="18"/>
    </row>
    <row r="91" spans="2:9" x14ac:dyDescent="0.2">
      <c r="B91" s="74"/>
      <c r="C91" s="75"/>
      <c r="D91" s="75"/>
      <c r="E91" s="75"/>
      <c r="F91" s="75"/>
      <c r="G91" s="75"/>
      <c r="H91" s="76"/>
      <c r="I91" s="24"/>
    </row>
    <row r="92" spans="2:9" x14ac:dyDescent="0.2">
      <c r="B92" s="253" t="s">
        <v>89</v>
      </c>
      <c r="C92" s="254"/>
      <c r="D92" s="254"/>
      <c r="E92" s="254"/>
      <c r="F92" s="254"/>
      <c r="G92" s="154"/>
      <c r="H92" s="155"/>
      <c r="I92" s="99"/>
    </row>
    <row r="93" spans="2:9" x14ac:dyDescent="0.2">
      <c r="B93" s="94" t="s">
        <v>15</v>
      </c>
      <c r="C93" s="203" t="s">
        <v>90</v>
      </c>
      <c r="D93" s="210"/>
      <c r="E93" s="210"/>
      <c r="F93" s="204"/>
      <c r="G93" s="94" t="s">
        <v>100</v>
      </c>
      <c r="H93" s="94" t="s">
        <v>47</v>
      </c>
      <c r="I93" s="99"/>
    </row>
    <row r="94" spans="2:9" ht="22.5" x14ac:dyDescent="0.2">
      <c r="B94" s="14" t="s">
        <v>4</v>
      </c>
      <c r="C94" s="84" t="s">
        <v>91</v>
      </c>
      <c r="D94" s="170" t="s">
        <v>180</v>
      </c>
      <c r="E94" s="171"/>
      <c r="F94" s="171"/>
      <c r="G94" s="39"/>
      <c r="H94" s="20">
        <f>TRUNC(((H$32+H71+H81)/220)*(1+50%)*G94,2)</f>
        <v>0</v>
      </c>
      <c r="I94" s="105"/>
    </row>
    <row r="95" spans="2:9" x14ac:dyDescent="0.2">
      <c r="B95" s="14" t="s">
        <v>149</v>
      </c>
      <c r="C95" s="203" t="s">
        <v>57</v>
      </c>
      <c r="D95" s="210"/>
      <c r="E95" s="210"/>
      <c r="F95" s="210"/>
      <c r="G95" s="130"/>
      <c r="H95" s="17">
        <f>H94</f>
        <v>0</v>
      </c>
      <c r="I95" s="105"/>
    </row>
    <row r="96" spans="2:9" x14ac:dyDescent="0.2">
      <c r="B96" s="97"/>
      <c r="C96" s="96"/>
      <c r="D96" s="96"/>
      <c r="E96" s="96"/>
      <c r="F96" s="96"/>
      <c r="G96" s="98"/>
      <c r="H96" s="169"/>
      <c r="I96" s="120"/>
    </row>
    <row r="97" spans="2:9" x14ac:dyDescent="0.2">
      <c r="B97" s="253" t="s">
        <v>70</v>
      </c>
      <c r="C97" s="254"/>
      <c r="D97" s="254"/>
      <c r="E97" s="254"/>
      <c r="F97" s="254"/>
      <c r="G97" s="154"/>
      <c r="H97" s="155"/>
      <c r="I97" s="99"/>
    </row>
    <row r="98" spans="2:9" x14ac:dyDescent="0.2">
      <c r="B98" s="94">
        <v>4</v>
      </c>
      <c r="C98" s="203" t="s">
        <v>71</v>
      </c>
      <c r="D98" s="210"/>
      <c r="E98" s="210"/>
      <c r="F98" s="210"/>
      <c r="G98" s="204"/>
      <c r="H98" s="94" t="s">
        <v>47</v>
      </c>
      <c r="I98" s="99"/>
    </row>
    <row r="99" spans="2:9" x14ac:dyDescent="0.2">
      <c r="B99" s="14" t="s">
        <v>14</v>
      </c>
      <c r="C99" s="92" t="s">
        <v>42</v>
      </c>
      <c r="D99" s="170" t="s">
        <v>148</v>
      </c>
      <c r="E99" s="171"/>
      <c r="F99" s="171"/>
      <c r="G99" s="172"/>
      <c r="H99" s="20">
        <f>H90</f>
        <v>627</v>
      </c>
      <c r="I99" s="105"/>
    </row>
    <row r="100" spans="2:9" x14ac:dyDescent="0.2">
      <c r="B100" s="14" t="s">
        <v>15</v>
      </c>
      <c r="C100" s="92" t="s">
        <v>44</v>
      </c>
      <c r="D100" s="170" t="s">
        <v>149</v>
      </c>
      <c r="E100" s="171"/>
      <c r="F100" s="171"/>
      <c r="G100" s="172"/>
      <c r="H100" s="20">
        <f>H95</f>
        <v>0</v>
      </c>
      <c r="I100" s="105"/>
    </row>
    <row r="101" spans="2:9" x14ac:dyDescent="0.2">
      <c r="B101" s="14" t="s">
        <v>150</v>
      </c>
      <c r="C101" s="203" t="s">
        <v>57</v>
      </c>
      <c r="D101" s="210"/>
      <c r="E101" s="210"/>
      <c r="F101" s="210"/>
      <c r="G101" s="81"/>
      <c r="H101" s="17">
        <f>SUM(H99:H100)</f>
        <v>627</v>
      </c>
      <c r="I101" s="18"/>
    </row>
    <row r="102" spans="2:9" x14ac:dyDescent="0.2">
      <c r="B102" s="98"/>
      <c r="C102" s="98"/>
      <c r="D102" s="98"/>
      <c r="E102" s="98"/>
      <c r="F102" s="98"/>
      <c r="G102" s="98"/>
      <c r="H102" s="98"/>
      <c r="I102" s="99"/>
    </row>
    <row r="103" spans="2:9" x14ac:dyDescent="0.2">
      <c r="B103" s="98"/>
      <c r="C103" s="98"/>
      <c r="D103" s="98"/>
      <c r="E103" s="98"/>
      <c r="F103" s="98"/>
      <c r="G103" s="98"/>
      <c r="H103" s="98"/>
      <c r="I103" s="99"/>
    </row>
    <row r="104" spans="2:9" x14ac:dyDescent="0.2">
      <c r="B104" s="226" t="s">
        <v>72</v>
      </c>
      <c r="C104" s="227"/>
      <c r="D104" s="227"/>
      <c r="E104" s="227"/>
      <c r="F104" s="252"/>
      <c r="G104" s="144"/>
      <c r="H104" s="145"/>
      <c r="I104" s="99"/>
    </row>
    <row r="105" spans="2:9" x14ac:dyDescent="0.2">
      <c r="B105" s="94">
        <v>5</v>
      </c>
      <c r="C105" s="260" t="s">
        <v>59</v>
      </c>
      <c r="D105" s="261"/>
      <c r="E105" s="261"/>
      <c r="F105" s="261"/>
      <c r="G105" s="262"/>
      <c r="H105" s="94" t="s">
        <v>47</v>
      </c>
      <c r="I105" s="99"/>
    </row>
    <row r="106" spans="2:9" x14ac:dyDescent="0.2">
      <c r="B106" s="14" t="s">
        <v>4</v>
      </c>
      <c r="C106" s="68" t="s">
        <v>45</v>
      </c>
      <c r="D106" s="69"/>
      <c r="E106" s="69"/>
      <c r="F106" s="69"/>
      <c r="G106" s="70"/>
      <c r="H106" s="71">
        <f>Insumos!G22</f>
        <v>184.77</v>
      </c>
      <c r="I106" s="105"/>
    </row>
    <row r="107" spans="2:9" x14ac:dyDescent="0.2">
      <c r="B107" s="14" t="s">
        <v>5</v>
      </c>
      <c r="C107" s="68" t="s">
        <v>12</v>
      </c>
      <c r="D107" s="69"/>
      <c r="E107" s="69"/>
      <c r="F107" s="69"/>
      <c r="G107" s="70"/>
      <c r="H107" s="71">
        <v>0</v>
      </c>
      <c r="I107" s="105"/>
    </row>
    <row r="108" spans="2:9" x14ac:dyDescent="0.2">
      <c r="B108" s="14" t="s">
        <v>6</v>
      </c>
      <c r="C108" s="68" t="s">
        <v>13</v>
      </c>
      <c r="D108" s="69"/>
      <c r="E108" s="69"/>
      <c r="F108" s="69"/>
      <c r="G108" s="70"/>
      <c r="H108" s="71">
        <f>Insumos!H32</f>
        <v>4.72</v>
      </c>
      <c r="I108" s="105"/>
    </row>
    <row r="109" spans="2:9" x14ac:dyDescent="0.2">
      <c r="B109" s="14" t="s">
        <v>7</v>
      </c>
      <c r="C109" s="68" t="s">
        <v>2</v>
      </c>
      <c r="D109" s="69"/>
      <c r="E109" s="69"/>
      <c r="F109" s="69"/>
      <c r="G109" s="70"/>
      <c r="H109" s="71"/>
      <c r="I109" s="105"/>
    </row>
    <row r="110" spans="2:9" x14ac:dyDescent="0.2">
      <c r="B110" s="14" t="s">
        <v>151</v>
      </c>
      <c r="C110" s="203" t="s">
        <v>57</v>
      </c>
      <c r="D110" s="210"/>
      <c r="E110" s="210"/>
      <c r="F110" s="210"/>
      <c r="G110" s="81"/>
      <c r="H110" s="17">
        <f>SUM(H106:H109)</f>
        <v>189.49</v>
      </c>
      <c r="I110" s="18"/>
    </row>
    <row r="111" spans="2:9" x14ac:dyDescent="0.2">
      <c r="B111" s="98"/>
      <c r="C111" s="98"/>
      <c r="D111" s="98"/>
      <c r="E111" s="98"/>
      <c r="F111" s="98"/>
      <c r="G111" s="77"/>
      <c r="H111" s="72"/>
      <c r="I111" s="18"/>
    </row>
    <row r="112" spans="2:9" x14ac:dyDescent="0.2">
      <c r="B112" s="98"/>
      <c r="C112" s="98"/>
      <c r="D112" s="98"/>
      <c r="E112" s="98"/>
      <c r="F112" s="98"/>
      <c r="G112" s="98"/>
      <c r="H112" s="98"/>
      <c r="I112" s="99"/>
    </row>
    <row r="113" spans="2:9" x14ac:dyDescent="0.2">
      <c r="B113" s="226" t="s">
        <v>73</v>
      </c>
      <c r="C113" s="227"/>
      <c r="D113" s="227"/>
      <c r="E113" s="227"/>
      <c r="F113" s="252"/>
      <c r="G113" s="144"/>
      <c r="H113" s="145"/>
      <c r="I113" s="99"/>
    </row>
    <row r="114" spans="2:9" x14ac:dyDescent="0.2">
      <c r="B114" s="94">
        <v>6</v>
      </c>
      <c r="C114" s="203" t="s">
        <v>60</v>
      </c>
      <c r="D114" s="210"/>
      <c r="E114" s="210"/>
      <c r="F114" s="204"/>
      <c r="G114" s="94" t="s">
        <v>1</v>
      </c>
      <c r="H114" s="94" t="s">
        <v>47</v>
      </c>
      <c r="I114" s="99"/>
    </row>
    <row r="115" spans="2:9" x14ac:dyDescent="0.2">
      <c r="B115" s="14" t="s">
        <v>4</v>
      </c>
      <c r="C115" s="92" t="s">
        <v>16</v>
      </c>
      <c r="D115" s="214" t="s">
        <v>161</v>
      </c>
      <c r="E115" s="215"/>
      <c r="F115" s="216"/>
      <c r="G115" s="49">
        <v>0.05</v>
      </c>
      <c r="H115" s="20">
        <f>TRUNC(H$132*$G115,2)</f>
        <v>337.83</v>
      </c>
      <c r="I115" s="105"/>
    </row>
    <row r="116" spans="2:9" x14ac:dyDescent="0.2">
      <c r="B116" s="14" t="s">
        <v>5</v>
      </c>
      <c r="C116" s="92" t="s">
        <v>3</v>
      </c>
      <c r="D116" s="214" t="s">
        <v>162</v>
      </c>
      <c r="E116" s="215"/>
      <c r="F116" s="216"/>
      <c r="G116" s="49">
        <v>0.1</v>
      </c>
      <c r="H116" s="20">
        <f>TRUNC((H$132+H$115)*$G116,2)</f>
        <v>709.45</v>
      </c>
      <c r="I116" s="105"/>
    </row>
    <row r="117" spans="2:9" x14ac:dyDescent="0.2">
      <c r="B117" s="14" t="s">
        <v>6</v>
      </c>
      <c r="C117" s="92" t="s">
        <v>116</v>
      </c>
      <c r="D117" s="214" t="s">
        <v>163</v>
      </c>
      <c r="E117" s="215"/>
      <c r="F117" s="216"/>
      <c r="G117" s="51">
        <f>1-(G118+G119+G120)</f>
        <v>0.85749999999999993</v>
      </c>
      <c r="H117" s="25">
        <f>TRUNC(((H$132+H$115+H$116)/$G117),2)</f>
        <v>9100.9</v>
      </c>
      <c r="I117" s="107"/>
    </row>
    <row r="118" spans="2:9" x14ac:dyDescent="0.2">
      <c r="B118" s="14" t="s">
        <v>21</v>
      </c>
      <c r="C118" s="92" t="s">
        <v>18</v>
      </c>
      <c r="D118" s="214" t="s">
        <v>164</v>
      </c>
      <c r="E118" s="215"/>
      <c r="F118" s="216"/>
      <c r="G118" s="50">
        <v>1.6500000000000001E-2</v>
      </c>
      <c r="H118" s="20">
        <f>TRUNC(H$117*$G118,2)</f>
        <v>150.16</v>
      </c>
      <c r="I118" s="105"/>
    </row>
    <row r="119" spans="2:9" x14ac:dyDescent="0.2">
      <c r="B119" s="14" t="s">
        <v>22</v>
      </c>
      <c r="C119" s="92" t="s">
        <v>19</v>
      </c>
      <c r="D119" s="214" t="s">
        <v>164</v>
      </c>
      <c r="E119" s="215"/>
      <c r="F119" s="216"/>
      <c r="G119" s="50">
        <v>7.5999999999999998E-2</v>
      </c>
      <c r="H119" s="20">
        <f>TRUNC(H$117*$G119,2)</f>
        <v>691.66</v>
      </c>
      <c r="I119" s="105"/>
    </row>
    <row r="120" spans="2:9" x14ac:dyDescent="0.2">
      <c r="B120" s="14" t="s">
        <v>23</v>
      </c>
      <c r="C120" s="92" t="s">
        <v>20</v>
      </c>
      <c r="D120" s="214" t="s">
        <v>164</v>
      </c>
      <c r="E120" s="215"/>
      <c r="F120" s="216"/>
      <c r="G120" s="50">
        <v>0.05</v>
      </c>
      <c r="H120" s="20">
        <f>TRUNC(H$117*$G120,2)</f>
        <v>455.04</v>
      </c>
      <c r="I120" s="105"/>
    </row>
    <row r="121" spans="2:9" x14ac:dyDescent="0.2">
      <c r="B121" s="14" t="s">
        <v>152</v>
      </c>
      <c r="C121" s="88" t="s">
        <v>57</v>
      </c>
      <c r="D121" s="266" t="s">
        <v>154</v>
      </c>
      <c r="E121" s="266"/>
      <c r="F121" s="266"/>
      <c r="G121" s="168"/>
      <c r="H121" s="17">
        <f>SUM(H115:H120)-H117</f>
        <v>2344.1400000000012</v>
      </c>
      <c r="I121" s="18"/>
    </row>
    <row r="122" spans="2:9" x14ac:dyDescent="0.2">
      <c r="B122" s="66"/>
      <c r="C122" s="66"/>
      <c r="D122" s="66"/>
      <c r="E122" s="66"/>
      <c r="F122" s="66"/>
      <c r="G122" s="66"/>
      <c r="H122" s="78"/>
      <c r="I122" s="26"/>
    </row>
    <row r="123" spans="2:9" x14ac:dyDescent="0.2">
      <c r="B123" s="263" t="s">
        <v>189</v>
      </c>
      <c r="C123" s="263"/>
      <c r="D123" s="263"/>
      <c r="E123" s="263"/>
      <c r="F123" s="263"/>
      <c r="G123" s="263"/>
      <c r="H123" s="263"/>
      <c r="I123" s="114"/>
    </row>
    <row r="124" spans="2:9" x14ac:dyDescent="0.2">
      <c r="B124" s="91"/>
      <c r="C124" s="91"/>
      <c r="D124" s="91"/>
      <c r="E124" s="91"/>
      <c r="F124" s="91"/>
      <c r="G124" s="91"/>
      <c r="H124" s="91"/>
      <c r="I124" s="114"/>
    </row>
    <row r="125" spans="2:9" x14ac:dyDescent="0.2">
      <c r="B125" s="226" t="s">
        <v>190</v>
      </c>
      <c r="C125" s="227"/>
      <c r="D125" s="227"/>
      <c r="E125" s="227"/>
      <c r="F125" s="227"/>
      <c r="G125" s="162"/>
      <c r="H125" s="145"/>
      <c r="I125" s="99"/>
    </row>
    <row r="126" spans="2:9" ht="12.75" customHeight="1" x14ac:dyDescent="0.2">
      <c r="B126" s="160"/>
      <c r="C126" s="264" t="s">
        <v>117</v>
      </c>
      <c r="D126" s="265"/>
      <c r="E126" s="265"/>
      <c r="F126" s="265"/>
      <c r="G126" s="161"/>
      <c r="H126" s="143" t="s">
        <v>47</v>
      </c>
      <c r="I126" s="99"/>
    </row>
    <row r="127" spans="2:9" x14ac:dyDescent="0.2">
      <c r="B127" s="14" t="s">
        <v>4</v>
      </c>
      <c r="C127" s="84" t="s">
        <v>75</v>
      </c>
      <c r="D127" s="170" t="s">
        <v>129</v>
      </c>
      <c r="E127" s="171"/>
      <c r="F127" s="171"/>
      <c r="G127" s="172"/>
      <c r="H127" s="20">
        <f>H32</f>
        <v>2044.99</v>
      </c>
      <c r="I127" s="105"/>
    </row>
    <row r="128" spans="2:9" ht="22.5" x14ac:dyDescent="0.2">
      <c r="B128" s="14" t="s">
        <v>5</v>
      </c>
      <c r="C128" s="84" t="s">
        <v>76</v>
      </c>
      <c r="D128" s="170" t="s">
        <v>143</v>
      </c>
      <c r="E128" s="171"/>
      <c r="F128" s="171"/>
      <c r="G128" s="172"/>
      <c r="H128" s="20">
        <f>H71</f>
        <v>3595.6799999999994</v>
      </c>
      <c r="I128" s="105"/>
    </row>
    <row r="129" spans="2:9" x14ac:dyDescent="0.2">
      <c r="B129" s="14" t="s">
        <v>6</v>
      </c>
      <c r="C129" s="84" t="s">
        <v>77</v>
      </c>
      <c r="D129" s="170" t="s">
        <v>147</v>
      </c>
      <c r="E129" s="171"/>
      <c r="F129" s="171"/>
      <c r="G129" s="172"/>
      <c r="H129" s="20">
        <f>H81</f>
        <v>299.58999999999997</v>
      </c>
      <c r="I129" s="105"/>
    </row>
    <row r="130" spans="2:9" ht="22.5" x14ac:dyDescent="0.2">
      <c r="B130" s="14" t="s">
        <v>7</v>
      </c>
      <c r="C130" s="84" t="s">
        <v>43</v>
      </c>
      <c r="D130" s="170" t="s">
        <v>150</v>
      </c>
      <c r="E130" s="171"/>
      <c r="F130" s="171"/>
      <c r="G130" s="172"/>
      <c r="H130" s="20">
        <f>H101</f>
        <v>627</v>
      </c>
      <c r="I130" s="105"/>
    </row>
    <row r="131" spans="2:9" x14ac:dyDescent="0.2">
      <c r="B131" s="14" t="s">
        <v>8</v>
      </c>
      <c r="C131" s="84" t="s">
        <v>78</v>
      </c>
      <c r="D131" s="170" t="s">
        <v>151</v>
      </c>
      <c r="E131" s="171"/>
      <c r="F131" s="171"/>
      <c r="G131" s="172"/>
      <c r="H131" s="20">
        <f>H110</f>
        <v>189.49</v>
      </c>
      <c r="I131" s="105"/>
    </row>
    <row r="132" spans="2:9" x14ac:dyDescent="0.2">
      <c r="B132" s="90" t="s">
        <v>9</v>
      </c>
      <c r="C132" s="83" t="s">
        <v>46</v>
      </c>
      <c r="D132" s="176" t="s">
        <v>168</v>
      </c>
      <c r="E132" s="177"/>
      <c r="F132" s="177"/>
      <c r="G132" s="178"/>
      <c r="H132" s="23">
        <f>SUM(H127:H131)</f>
        <v>6756.7499999999991</v>
      </c>
      <c r="I132" s="18"/>
    </row>
    <row r="133" spans="2:9" x14ac:dyDescent="0.2">
      <c r="B133" s="14" t="s">
        <v>10</v>
      </c>
      <c r="C133" s="92" t="s">
        <v>79</v>
      </c>
      <c r="D133" s="170" t="s">
        <v>152</v>
      </c>
      <c r="E133" s="171"/>
      <c r="F133" s="171"/>
      <c r="G133" s="172"/>
      <c r="H133" s="20">
        <f>H121</f>
        <v>2344.1400000000012</v>
      </c>
      <c r="I133" s="105"/>
    </row>
    <row r="134" spans="2:9" x14ac:dyDescent="0.2">
      <c r="B134" s="14" t="s">
        <v>155</v>
      </c>
      <c r="C134" s="87" t="s">
        <v>74</v>
      </c>
      <c r="D134" s="179" t="s">
        <v>167</v>
      </c>
      <c r="E134" s="167"/>
      <c r="F134" s="167"/>
      <c r="G134" s="168"/>
      <c r="H134" s="28">
        <f>SUM(H132:H133)</f>
        <v>9100.89</v>
      </c>
      <c r="I134" s="118"/>
    </row>
    <row r="135" spans="2:9" ht="12.75" customHeight="1" x14ac:dyDescent="0.2">
      <c r="B135" s="12"/>
      <c r="C135" s="12"/>
      <c r="D135" s="12"/>
      <c r="E135" s="12"/>
      <c r="F135" s="12"/>
      <c r="G135" s="12"/>
      <c r="H135" s="29"/>
      <c r="I135" s="29"/>
    </row>
    <row r="136" spans="2:9" x14ac:dyDescent="0.2">
      <c r="B136" s="263" t="s">
        <v>191</v>
      </c>
      <c r="C136" s="263"/>
      <c r="D136" s="263"/>
      <c r="E136" s="263"/>
      <c r="F136" s="263"/>
      <c r="I136" s="12"/>
    </row>
    <row r="137" spans="2:9" x14ac:dyDescent="0.2">
      <c r="B137" s="79"/>
      <c r="C137" s="79"/>
      <c r="D137" s="79"/>
      <c r="E137" s="73"/>
      <c r="F137" s="73"/>
      <c r="I137" s="12"/>
    </row>
    <row r="138" spans="2:9" x14ac:dyDescent="0.2">
      <c r="B138" s="273" t="s">
        <v>192</v>
      </c>
      <c r="C138" s="274"/>
      <c r="D138" s="274"/>
      <c r="E138" s="274"/>
      <c r="F138" s="274"/>
      <c r="G138" s="162"/>
      <c r="H138" s="145"/>
      <c r="I138" s="115"/>
    </row>
    <row r="139" spans="2:9" x14ac:dyDescent="0.2">
      <c r="B139" s="131" t="s">
        <v>4</v>
      </c>
      <c r="C139" s="163" t="s">
        <v>101</v>
      </c>
      <c r="D139" s="275" t="s">
        <v>155</v>
      </c>
      <c r="E139" s="276"/>
      <c r="F139" s="276"/>
      <c r="G139" s="164"/>
      <c r="H139" s="165">
        <f>H134</f>
        <v>9100.89</v>
      </c>
      <c r="I139" s="113"/>
    </row>
    <row r="140" spans="2:9" ht="22.5" x14ac:dyDescent="0.2">
      <c r="B140" s="14" t="s">
        <v>5</v>
      </c>
      <c r="C140" s="85" t="s">
        <v>157</v>
      </c>
      <c r="D140" s="277" t="s">
        <v>158</v>
      </c>
      <c r="E140" s="278"/>
      <c r="F140" s="278"/>
      <c r="G140" s="158"/>
      <c r="H140" s="9">
        <f>H43+H81+H99</f>
        <v>1324.22</v>
      </c>
      <c r="I140" s="108"/>
    </row>
    <row r="141" spans="2:9" ht="22.5" x14ac:dyDescent="0.2">
      <c r="B141" s="14" t="s">
        <v>6</v>
      </c>
      <c r="C141" s="85" t="s">
        <v>171</v>
      </c>
      <c r="D141" s="277" t="s">
        <v>179</v>
      </c>
      <c r="E141" s="278"/>
      <c r="F141" s="278"/>
      <c r="G141" s="159"/>
      <c r="H141" s="112">
        <f>TRUNC((H$43*$G56),2)</f>
        <v>146.32</v>
      </c>
      <c r="I141" s="113"/>
    </row>
    <row r="142" spans="2:9" ht="12.75" customHeight="1" x14ac:dyDescent="0.2">
      <c r="B142" s="14" t="s">
        <v>7</v>
      </c>
      <c r="C142" s="85" t="s">
        <v>16</v>
      </c>
      <c r="D142" s="267" t="s">
        <v>165</v>
      </c>
      <c r="E142" s="268"/>
      <c r="F142" s="269"/>
      <c r="G142" s="10">
        <f>G115</f>
        <v>0.05</v>
      </c>
      <c r="H142" s="9">
        <f>TRUNC((H$140+H$141)*$G142,2)</f>
        <v>73.52</v>
      </c>
      <c r="I142" s="108"/>
    </row>
    <row r="143" spans="2:9" ht="12.75" customHeight="1" x14ac:dyDescent="0.2">
      <c r="B143" s="14" t="s">
        <v>8</v>
      </c>
      <c r="C143" s="85" t="s">
        <v>3</v>
      </c>
      <c r="D143" s="267" t="s">
        <v>166</v>
      </c>
      <c r="E143" s="268"/>
      <c r="F143" s="269"/>
      <c r="G143" s="10">
        <f>G116</f>
        <v>0.1</v>
      </c>
      <c r="H143" s="9">
        <f>TRUNC((H$140+H$141+H$142)*$G143,2)</f>
        <v>154.4</v>
      </c>
      <c r="I143" s="108"/>
    </row>
    <row r="144" spans="2:9" ht="12.75" customHeight="1" x14ac:dyDescent="0.2">
      <c r="B144" s="14" t="s">
        <v>9</v>
      </c>
      <c r="C144" s="85" t="s">
        <v>102</v>
      </c>
      <c r="D144" s="267" t="s">
        <v>173</v>
      </c>
      <c r="E144" s="268"/>
      <c r="F144" s="269"/>
      <c r="G144" s="10">
        <f>G118+G119+G120</f>
        <v>0.14250000000000002</v>
      </c>
      <c r="H144" s="9">
        <f>TRUNC((H$140+H$141+H$142+H$143)/(1-$G144)-(H$140+H$141+H$142+H$143),2)</f>
        <v>282.25</v>
      </c>
      <c r="I144" s="108"/>
    </row>
    <row r="145" spans="2:9" ht="22.5" x14ac:dyDescent="0.2">
      <c r="B145" s="14" t="s">
        <v>10</v>
      </c>
      <c r="C145" s="132" t="s">
        <v>103</v>
      </c>
      <c r="D145" s="156" t="s">
        <v>174</v>
      </c>
      <c r="E145" s="157"/>
      <c r="F145" s="157"/>
      <c r="G145" s="158"/>
      <c r="H145" s="133">
        <f>SUM(H140:H144)</f>
        <v>1980.71</v>
      </c>
      <c r="I145" s="109"/>
    </row>
    <row r="146" spans="2:9" x14ac:dyDescent="0.2">
      <c r="B146" s="14" t="s">
        <v>156</v>
      </c>
      <c r="C146" s="89" t="s">
        <v>126</v>
      </c>
      <c r="D146" s="279" t="s">
        <v>172</v>
      </c>
      <c r="E146" s="280"/>
      <c r="F146" s="280"/>
      <c r="G146" s="166"/>
      <c r="H146" s="30">
        <f>H139-H145</f>
        <v>7120.1799999999994</v>
      </c>
      <c r="I146" s="119"/>
    </row>
    <row r="147" spans="2:9" ht="45" customHeight="1" x14ac:dyDescent="0.2">
      <c r="B147" s="270" t="s">
        <v>125</v>
      </c>
      <c r="C147" s="271"/>
      <c r="D147" s="271"/>
      <c r="E147" s="271"/>
      <c r="F147" s="271"/>
      <c r="G147" s="272"/>
      <c r="H147" s="142"/>
      <c r="I147" s="110"/>
    </row>
  </sheetData>
  <mergeCells count="105">
    <mergeCell ref="B2:H2"/>
    <mergeCell ref="B3:H3"/>
    <mergeCell ref="D6:F6"/>
    <mergeCell ref="B8:F8"/>
    <mergeCell ref="B9:B10"/>
    <mergeCell ref="C9:F9"/>
    <mergeCell ref="C10:F10"/>
    <mergeCell ref="B15:B16"/>
    <mergeCell ref="C15:F15"/>
    <mergeCell ref="C16:F16"/>
    <mergeCell ref="B17:B18"/>
    <mergeCell ref="C17:F17"/>
    <mergeCell ref="C18:F18"/>
    <mergeCell ref="B11:B12"/>
    <mergeCell ref="C11:F11"/>
    <mergeCell ref="C12:F12"/>
    <mergeCell ref="B13:B14"/>
    <mergeCell ref="C13:F13"/>
    <mergeCell ref="C14:F14"/>
    <mergeCell ref="D26:F26"/>
    <mergeCell ref="D28:F28"/>
    <mergeCell ref="D29:F29"/>
    <mergeCell ref="D30:F30"/>
    <mergeCell ref="D31:F31"/>
    <mergeCell ref="C32:F32"/>
    <mergeCell ref="B19:B20"/>
    <mergeCell ref="C19:F19"/>
    <mergeCell ref="C20:F20"/>
    <mergeCell ref="B23:F23"/>
    <mergeCell ref="C24:F24"/>
    <mergeCell ref="D25:F25"/>
    <mergeCell ref="G49:G50"/>
    <mergeCell ref="H49:H50"/>
    <mergeCell ref="D42:F42"/>
    <mergeCell ref="C43:F43"/>
    <mergeCell ref="B44:H44"/>
    <mergeCell ref="B45:F45"/>
    <mergeCell ref="C46:F46"/>
    <mergeCell ref="D47:F47"/>
    <mergeCell ref="C33:F34"/>
    <mergeCell ref="B37:F37"/>
    <mergeCell ref="B38:F38"/>
    <mergeCell ref="B39:F39"/>
    <mergeCell ref="C40:F40"/>
    <mergeCell ref="D41:F41"/>
    <mergeCell ref="D51:F51"/>
    <mergeCell ref="D52:F52"/>
    <mergeCell ref="D53:F53"/>
    <mergeCell ref="D54:F54"/>
    <mergeCell ref="D55:F55"/>
    <mergeCell ref="C56:F56"/>
    <mergeCell ref="D48:F48"/>
    <mergeCell ref="B49:B50"/>
    <mergeCell ref="C49:C50"/>
    <mergeCell ref="D49:D50"/>
    <mergeCell ref="C67:F67"/>
    <mergeCell ref="C71:F71"/>
    <mergeCell ref="B72:H72"/>
    <mergeCell ref="B74:F74"/>
    <mergeCell ref="C75:F75"/>
    <mergeCell ref="D76:E76"/>
    <mergeCell ref="B57:H57"/>
    <mergeCell ref="B58:F58"/>
    <mergeCell ref="C59:F59"/>
    <mergeCell ref="C64:F64"/>
    <mergeCell ref="B65:H65"/>
    <mergeCell ref="B66:F66"/>
    <mergeCell ref="C90:F90"/>
    <mergeCell ref="B92:F92"/>
    <mergeCell ref="C93:F93"/>
    <mergeCell ref="C95:F95"/>
    <mergeCell ref="B97:F97"/>
    <mergeCell ref="C98:G98"/>
    <mergeCell ref="D77:E77"/>
    <mergeCell ref="D80:E80"/>
    <mergeCell ref="C81:F81"/>
    <mergeCell ref="B84:F84"/>
    <mergeCell ref="B85:F85"/>
    <mergeCell ref="C86:F86"/>
    <mergeCell ref="D115:F115"/>
    <mergeCell ref="D116:F116"/>
    <mergeCell ref="D117:F117"/>
    <mergeCell ref="D118:F118"/>
    <mergeCell ref="D119:F119"/>
    <mergeCell ref="D120:F120"/>
    <mergeCell ref="C101:F101"/>
    <mergeCell ref="B104:F104"/>
    <mergeCell ref="C105:G105"/>
    <mergeCell ref="C110:F110"/>
    <mergeCell ref="B113:F113"/>
    <mergeCell ref="C114:F114"/>
    <mergeCell ref="D146:F146"/>
    <mergeCell ref="B147:G147"/>
    <mergeCell ref="D139:F139"/>
    <mergeCell ref="D140:F140"/>
    <mergeCell ref="D141:F141"/>
    <mergeCell ref="D142:F142"/>
    <mergeCell ref="D143:F143"/>
    <mergeCell ref="D144:F144"/>
    <mergeCell ref="D121:F121"/>
    <mergeCell ref="B123:H123"/>
    <mergeCell ref="B125:F125"/>
    <mergeCell ref="C126:F126"/>
    <mergeCell ref="B136:F136"/>
    <mergeCell ref="B138:F138"/>
  </mergeCells>
  <dataValidations count="11">
    <dataValidation operator="equal" allowBlank="1" showInputMessage="1" showErrorMessage="1" errorTitle="Valor errado" error="Percentual fixo. Preencher com 40%." sqref="F76" xr:uid="{F0800F92-D711-4950-804E-B749E799E98F}"/>
    <dataValidation type="list" allowBlank="1" showInputMessage="1" showErrorMessage="1" sqref="G26" xr:uid="{CB177498-1104-44C5-BF41-E61A12D397E4}">
      <formula1>"0%, 30%"</formula1>
    </dataValidation>
    <dataValidation type="list" allowBlank="1" showInputMessage="1" showErrorMessage="1" sqref="G27" xr:uid="{F5E24C10-76CC-4B51-801A-F8B0B2189EAE}">
      <formula1>"0%, 10%, 20%, 40%"</formula1>
    </dataValidation>
    <dataValidation type="list" allowBlank="1" showInputMessage="1" showErrorMessage="1" sqref="E50" xr:uid="{78482AF1-6FF1-41DD-9302-FCBABF358DB3}">
      <formula1>"1%, 2%, 3%"</formula1>
    </dataValidation>
    <dataValidation type="list" allowBlank="1" showInputMessage="1" showErrorMessage="1" sqref="G28:G29" xr:uid="{83BE718E-6607-432B-86D2-D07B442F3D73}">
      <formula1>"0, 20%"</formula1>
    </dataValidation>
    <dataValidation type="list" allowBlank="1" showInputMessage="1" showErrorMessage="1" sqref="G119" xr:uid="{8DF37CDA-AA77-4914-943E-C78BA70601F2}">
      <mc:AlternateContent xmlns:x12ac="http://schemas.microsoft.com/office/spreadsheetml/2011/1/ac" xmlns:mc="http://schemas.openxmlformats.org/markup-compatibility/2006">
        <mc:Choice Requires="x12ac">
          <x12ac:list>3%," 7,6%"</x12ac:list>
        </mc:Choice>
        <mc:Fallback>
          <formula1>"3%, 7,6%"</formula1>
        </mc:Fallback>
      </mc:AlternateContent>
    </dataValidation>
    <dataValidation type="list" allowBlank="1" showInputMessage="1" showErrorMessage="1" sqref="G118" xr:uid="{67399EC5-00EB-4F26-9FEE-A12576A87C56}">
      <mc:AlternateContent xmlns:x12ac="http://schemas.microsoft.com/office/spreadsheetml/2011/1/ac" xmlns:mc="http://schemas.openxmlformats.org/markup-compatibility/2006">
        <mc:Choice Requires="x12ac">
          <x12ac:list>"0,65%","1,65%"</x12ac:list>
        </mc:Choice>
        <mc:Fallback>
          <formula1>"0,65%,1,65%"</formula1>
        </mc:Fallback>
      </mc:AlternateContent>
    </dataValidation>
    <dataValidation type="list" allowBlank="1" showInputMessage="1" showErrorMessage="1" sqref="G30" xr:uid="{49D7C7E4-0CDD-46A7-952F-1AC31DAF965A}">
      <formula1>"0, 50%, 100%"</formula1>
    </dataValidation>
    <dataValidation type="whole" allowBlank="1" showInputMessage="1" showErrorMessage="1" errorTitle="Valor errado" error="Quantidade fixa de dias. Prencher com 30" sqref="G87" xr:uid="{89B14F5D-5DC4-4ADD-A58C-EDC197E08DB4}">
      <formula1>30</formula1>
      <formula2>30</formula2>
    </dataValidation>
    <dataValidation type="custom" allowBlank="1" showInputMessage="1" showErrorMessage="1" sqref="G117" xr:uid="{59278B78-6369-47E7-9F50-CB317AE3AA68}">
      <formula1>1-(G118+G119+G120)</formula1>
    </dataValidation>
    <dataValidation type="list" allowBlank="1" showInputMessage="1" showErrorMessage="1" sqref="G80" xr:uid="{BC3D36BC-DD45-4E9E-8E3D-0115FAA83A00}">
      <formula1>"3,6,9,12,15"</formula1>
    </dataValidation>
  </dataValidations>
  <pageMargins left="0.511811024" right="0.511811024" top="0.78740157499999996" bottom="0.78740157499999996" header="0.31496062000000002" footer="0.31496062000000002"/>
  <pageSetup paperSize="9" scale="68" fitToHeight="0" orientation="portrait" verticalDpi="300" r:id="rId1"/>
  <rowBreaks count="1" manualBreakCount="1">
    <brk id="72" max="9"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L32"/>
  <sheetViews>
    <sheetView showGridLines="0" zoomScaleNormal="100" workbookViewId="0">
      <selection activeCell="H16" sqref="H16"/>
    </sheetView>
  </sheetViews>
  <sheetFormatPr defaultColWidth="9.140625" defaultRowHeight="11.25" x14ac:dyDescent="0.2"/>
  <cols>
    <col min="1" max="1" width="3.7109375" style="42" customWidth="1"/>
    <col min="2" max="2" width="25.7109375" style="42" customWidth="1"/>
    <col min="3" max="3" width="14.140625" style="42" customWidth="1"/>
    <col min="4" max="4" width="15.42578125" style="42" customWidth="1"/>
    <col min="5" max="5" width="14" style="42" customWidth="1"/>
    <col min="6" max="6" width="13.7109375" style="42" customWidth="1"/>
    <col min="7" max="7" width="13.140625" style="42" customWidth="1"/>
    <col min="8" max="8" width="20" style="42" customWidth="1"/>
    <col min="9" max="10" width="15.7109375" style="42" customWidth="1"/>
    <col min="11" max="16384" width="9.140625" style="42"/>
  </cols>
  <sheetData>
    <row r="1" spans="1:12" ht="12" thickBot="1" x14ac:dyDescent="0.25"/>
    <row r="2" spans="1:12" ht="18.75" customHeight="1" thickBot="1" x14ac:dyDescent="0.25">
      <c r="A2" s="281" t="s">
        <v>223</v>
      </c>
      <c r="B2" s="282"/>
      <c r="C2" s="282"/>
      <c r="D2" s="282"/>
      <c r="E2" s="282"/>
      <c r="F2" s="282"/>
      <c r="G2" s="283"/>
      <c r="H2" s="137"/>
      <c r="I2" s="137"/>
    </row>
    <row r="4" spans="1:12" s="43" customFormat="1" ht="30" customHeight="1" x14ac:dyDescent="0.2">
      <c r="A4" s="286" t="s">
        <v>80</v>
      </c>
      <c r="B4" s="286"/>
      <c r="C4" s="40" t="s">
        <v>81</v>
      </c>
      <c r="D4" s="40" t="s">
        <v>112</v>
      </c>
      <c r="E4" s="40" t="s">
        <v>108</v>
      </c>
      <c r="F4" s="40" t="s">
        <v>113</v>
      </c>
      <c r="G4" s="40" t="s">
        <v>114</v>
      </c>
      <c r="H4" s="134"/>
      <c r="I4" s="134"/>
      <c r="K4" s="42"/>
      <c r="L4" s="42"/>
    </row>
    <row r="5" spans="1:12" ht="22.5" customHeight="1" x14ac:dyDescent="0.2">
      <c r="A5" s="3">
        <v>1</v>
      </c>
      <c r="B5" s="138" t="s">
        <v>206</v>
      </c>
      <c r="C5" s="47">
        <v>221.26</v>
      </c>
      <c r="D5" s="139">
        <v>2</v>
      </c>
      <c r="E5" s="139">
        <v>6</v>
      </c>
      <c r="F5" s="193">
        <f>IF(B5="","",TRUNC(C5*D5*(12/E5),2))</f>
        <v>885.04</v>
      </c>
      <c r="G5" s="193">
        <f>IF(B5="","",TRUNC(F5/12,2))</f>
        <v>73.75</v>
      </c>
      <c r="H5" s="135"/>
      <c r="I5" s="135"/>
    </row>
    <row r="6" spans="1:12" ht="22.5" customHeight="1" x14ac:dyDescent="0.2">
      <c r="A6" s="3">
        <f>A5+1</f>
        <v>2</v>
      </c>
      <c r="B6" s="138" t="s">
        <v>207</v>
      </c>
      <c r="C6" s="47">
        <v>89.38</v>
      </c>
      <c r="D6" s="139">
        <v>4</v>
      </c>
      <c r="E6" s="139">
        <v>6</v>
      </c>
      <c r="F6" s="193">
        <f t="shared" ref="F6:F10" si="0">IF(B6="","",TRUNC(C6*D6*(12/E6),2))</f>
        <v>715.04</v>
      </c>
      <c r="G6" s="193">
        <f t="shared" ref="G6:G10" si="1">IF(B6="","",TRUNC(F6/12,2))</f>
        <v>59.58</v>
      </c>
      <c r="H6" s="135"/>
      <c r="I6" s="135"/>
    </row>
    <row r="7" spans="1:12" ht="22.5" customHeight="1" x14ac:dyDescent="0.2">
      <c r="A7" s="3">
        <f t="shared" ref="A7:A10" si="2">A6+1</f>
        <v>3</v>
      </c>
      <c r="B7" s="138" t="s">
        <v>208</v>
      </c>
      <c r="C7" s="47">
        <v>44.45</v>
      </c>
      <c r="D7" s="139">
        <v>2</v>
      </c>
      <c r="E7" s="139">
        <v>6</v>
      </c>
      <c r="F7" s="193">
        <f t="shared" si="0"/>
        <v>177.8</v>
      </c>
      <c r="G7" s="193">
        <f t="shared" si="1"/>
        <v>14.81</v>
      </c>
      <c r="H7" s="136"/>
      <c r="I7" s="136"/>
    </row>
    <row r="8" spans="1:12" ht="22.5" customHeight="1" x14ac:dyDescent="0.2">
      <c r="A8" s="3">
        <f t="shared" si="2"/>
        <v>4</v>
      </c>
      <c r="B8" s="138" t="s">
        <v>215</v>
      </c>
      <c r="C8" s="47">
        <v>15.93</v>
      </c>
      <c r="D8" s="139">
        <v>4</v>
      </c>
      <c r="E8" s="139">
        <v>6</v>
      </c>
      <c r="F8" s="193">
        <f t="shared" si="0"/>
        <v>127.44</v>
      </c>
      <c r="G8" s="193">
        <f t="shared" si="1"/>
        <v>10.62</v>
      </c>
      <c r="H8" s="136"/>
      <c r="I8" s="136"/>
    </row>
    <row r="9" spans="1:12" ht="22.5" customHeight="1" x14ac:dyDescent="0.2">
      <c r="A9" s="3">
        <f t="shared" si="2"/>
        <v>5</v>
      </c>
      <c r="B9" s="138" t="s">
        <v>209</v>
      </c>
      <c r="C9" s="47">
        <v>49.63</v>
      </c>
      <c r="D9" s="139">
        <v>2</v>
      </c>
      <c r="E9" s="139">
        <v>6</v>
      </c>
      <c r="F9" s="193">
        <f t="shared" si="0"/>
        <v>198.52</v>
      </c>
      <c r="G9" s="193">
        <f t="shared" si="1"/>
        <v>16.54</v>
      </c>
      <c r="H9" s="136"/>
      <c r="I9" s="136"/>
    </row>
    <row r="10" spans="1:12" ht="22.5" customHeight="1" x14ac:dyDescent="0.2">
      <c r="A10" s="3">
        <f t="shared" si="2"/>
        <v>6</v>
      </c>
      <c r="B10" s="138" t="s">
        <v>210</v>
      </c>
      <c r="C10" s="47">
        <v>144.19999999999999</v>
      </c>
      <c r="D10" s="139">
        <v>2</v>
      </c>
      <c r="E10" s="139">
        <v>6</v>
      </c>
      <c r="F10" s="193">
        <f t="shared" si="0"/>
        <v>576.79999999999995</v>
      </c>
      <c r="G10" s="193">
        <f t="shared" si="1"/>
        <v>48.06</v>
      </c>
      <c r="H10" s="136"/>
      <c r="I10" s="136"/>
    </row>
    <row r="11" spans="1:12" ht="22.5" customHeight="1" x14ac:dyDescent="0.2">
      <c r="B11" s="194"/>
      <c r="C11" s="136"/>
      <c r="D11" s="195"/>
      <c r="E11" s="284" t="s">
        <v>214</v>
      </c>
      <c r="F11" s="285"/>
      <c r="G11" s="41">
        <f>SUM(G5,G6,G7,G8,G9,G10)</f>
        <v>223.35999999999999</v>
      </c>
      <c r="H11" s="136"/>
      <c r="I11" s="136"/>
    </row>
    <row r="12" spans="1:12" ht="12" thickBot="1" x14ac:dyDescent="0.25"/>
    <row r="13" spans="1:12" ht="15" thickBot="1" x14ac:dyDescent="0.25">
      <c r="A13" s="281" t="s">
        <v>224</v>
      </c>
      <c r="B13" s="282"/>
      <c r="C13" s="282"/>
      <c r="D13" s="282"/>
      <c r="E13" s="282"/>
      <c r="F13" s="282"/>
      <c r="G13" s="283"/>
      <c r="H13" s="137"/>
    </row>
    <row r="15" spans="1:12" ht="22.5" x14ac:dyDescent="0.2">
      <c r="A15" s="286" t="s">
        <v>80</v>
      </c>
      <c r="B15" s="286"/>
      <c r="C15" s="40" t="s">
        <v>81</v>
      </c>
      <c r="D15" s="40" t="s">
        <v>112</v>
      </c>
      <c r="E15" s="40" t="s">
        <v>108</v>
      </c>
      <c r="F15" s="40" t="s">
        <v>113</v>
      </c>
      <c r="G15" s="40" t="s">
        <v>114</v>
      </c>
      <c r="H15" s="134"/>
    </row>
    <row r="16" spans="1:12" ht="22.5" customHeight="1" x14ac:dyDescent="0.2">
      <c r="A16" s="3">
        <v>1</v>
      </c>
      <c r="B16" s="138" t="s">
        <v>207</v>
      </c>
      <c r="C16" s="47">
        <v>89.38</v>
      </c>
      <c r="D16" s="139">
        <v>4</v>
      </c>
      <c r="E16" s="139">
        <v>6</v>
      </c>
      <c r="F16" s="193">
        <f t="shared" ref="F16:F21" si="3">IF(B16="","",TRUNC(C16*D16*(12/E16),2))</f>
        <v>715.04</v>
      </c>
      <c r="G16" s="193">
        <f t="shared" ref="G16:G21" si="4">IF(B16="","",TRUNC(F16/12,2))</f>
        <v>59.58</v>
      </c>
      <c r="H16" s="135"/>
    </row>
    <row r="17" spans="1:10" ht="22.5" customHeight="1" x14ac:dyDescent="0.2">
      <c r="A17" s="3">
        <f>A16+1</f>
        <v>2</v>
      </c>
      <c r="B17" s="138" t="s">
        <v>215</v>
      </c>
      <c r="C17" s="47">
        <v>15.93</v>
      </c>
      <c r="D17" s="139">
        <v>4</v>
      </c>
      <c r="E17" s="139">
        <v>6</v>
      </c>
      <c r="F17" s="193">
        <f t="shared" si="3"/>
        <v>127.44</v>
      </c>
      <c r="G17" s="193">
        <f t="shared" si="4"/>
        <v>10.62</v>
      </c>
      <c r="H17" s="136"/>
    </row>
    <row r="18" spans="1:10" ht="22.5" customHeight="1" x14ac:dyDescent="0.2">
      <c r="A18" s="3">
        <f t="shared" ref="A18:A21" si="5">A17+1</f>
        <v>3</v>
      </c>
      <c r="B18" s="138" t="s">
        <v>209</v>
      </c>
      <c r="C18" s="47">
        <v>49.63</v>
      </c>
      <c r="D18" s="139">
        <v>2</v>
      </c>
      <c r="E18" s="139">
        <v>6</v>
      </c>
      <c r="F18" s="193">
        <f t="shared" si="3"/>
        <v>198.52</v>
      </c>
      <c r="G18" s="193">
        <f t="shared" si="4"/>
        <v>16.54</v>
      </c>
      <c r="H18" s="136"/>
    </row>
    <row r="19" spans="1:10" ht="22.5" customHeight="1" x14ac:dyDescent="0.2">
      <c r="A19" s="3">
        <f t="shared" si="5"/>
        <v>4</v>
      </c>
      <c r="B19" s="138" t="s">
        <v>210</v>
      </c>
      <c r="C19" s="47">
        <v>144.19999999999999</v>
      </c>
      <c r="D19" s="139">
        <v>2</v>
      </c>
      <c r="E19" s="139">
        <v>6</v>
      </c>
      <c r="F19" s="193">
        <f t="shared" si="3"/>
        <v>576.79999999999995</v>
      </c>
      <c r="G19" s="193">
        <f t="shared" si="4"/>
        <v>48.06</v>
      </c>
      <c r="H19" s="136"/>
    </row>
    <row r="20" spans="1:10" ht="22.5" customHeight="1" x14ac:dyDescent="0.2">
      <c r="A20" s="3">
        <f t="shared" si="5"/>
        <v>5</v>
      </c>
      <c r="B20" s="138" t="s">
        <v>211</v>
      </c>
      <c r="C20" s="47">
        <v>117.96</v>
      </c>
      <c r="D20" s="139">
        <v>2</v>
      </c>
      <c r="E20" s="139">
        <v>6</v>
      </c>
      <c r="F20" s="193">
        <f t="shared" si="3"/>
        <v>471.84</v>
      </c>
      <c r="G20" s="193">
        <f t="shared" si="4"/>
        <v>39.32</v>
      </c>
      <c r="H20" s="136"/>
    </row>
    <row r="21" spans="1:10" ht="22.5" customHeight="1" x14ac:dyDescent="0.2">
      <c r="A21" s="3">
        <f t="shared" si="5"/>
        <v>6</v>
      </c>
      <c r="B21" s="138" t="s">
        <v>212</v>
      </c>
      <c r="C21" s="47">
        <v>63.93</v>
      </c>
      <c r="D21" s="139">
        <v>1</v>
      </c>
      <c r="E21" s="139">
        <v>6</v>
      </c>
      <c r="F21" s="193">
        <f t="shared" si="3"/>
        <v>127.86</v>
      </c>
      <c r="G21" s="193">
        <f t="shared" si="4"/>
        <v>10.65</v>
      </c>
      <c r="H21" s="136"/>
    </row>
    <row r="22" spans="1:10" ht="27.75" customHeight="1" x14ac:dyDescent="0.2">
      <c r="B22" s="43"/>
      <c r="C22" s="46"/>
      <c r="D22" s="46"/>
      <c r="E22" s="284" t="s">
        <v>213</v>
      </c>
      <c r="F22" s="285"/>
      <c r="G22" s="41">
        <f>SUM(G20,G16,G17,G18,G21,G19)</f>
        <v>184.77</v>
      </c>
    </row>
    <row r="26" spans="1:10" ht="12" customHeight="1" thickBot="1" x14ac:dyDescent="0.25"/>
    <row r="27" spans="1:10" ht="18.75" customHeight="1" thickBot="1" x14ac:dyDescent="0.25">
      <c r="A27" s="281" t="s">
        <v>110</v>
      </c>
      <c r="B27" s="282"/>
      <c r="C27" s="282"/>
      <c r="D27" s="282"/>
      <c r="E27" s="282"/>
      <c r="F27" s="282"/>
      <c r="G27" s="282"/>
      <c r="H27" s="283"/>
      <c r="I27" s="137"/>
      <c r="J27" s="137"/>
    </row>
    <row r="30" spans="1:10" s="43" customFormat="1" ht="48" customHeight="1" x14ac:dyDescent="0.2">
      <c r="A30" s="284" t="s">
        <v>80</v>
      </c>
      <c r="B30" s="285"/>
      <c r="C30" s="40" t="s">
        <v>111</v>
      </c>
      <c r="D30" s="40" t="s">
        <v>193</v>
      </c>
      <c r="E30" s="40" t="s">
        <v>120</v>
      </c>
      <c r="F30" s="40" t="s">
        <v>119</v>
      </c>
      <c r="G30" s="40" t="s">
        <v>115</v>
      </c>
      <c r="H30" s="40" t="s">
        <v>114</v>
      </c>
      <c r="I30" s="134"/>
      <c r="J30" s="134"/>
    </row>
    <row r="31" spans="1:10" ht="22.5" customHeight="1" x14ac:dyDescent="0.2">
      <c r="A31" s="3">
        <v>1</v>
      </c>
      <c r="B31" s="138" t="s">
        <v>92</v>
      </c>
      <c r="C31" s="47">
        <v>2023.61</v>
      </c>
      <c r="D31" s="48">
        <v>60</v>
      </c>
      <c r="E31" s="45">
        <v>1</v>
      </c>
      <c r="F31" s="45">
        <v>7</v>
      </c>
      <c r="G31" s="44">
        <f>IF(B31="","",TRUNC(E31/F31,2))</f>
        <v>0.14000000000000001</v>
      </c>
      <c r="H31" s="44">
        <f>IF(B31="","",TRUNC(C31/D31*G31,2))</f>
        <v>4.72</v>
      </c>
      <c r="I31" s="136"/>
      <c r="J31" s="136"/>
    </row>
    <row r="32" spans="1:10" ht="22.5" customHeight="1" x14ac:dyDescent="0.2">
      <c r="B32" s="43"/>
      <c r="C32" s="46"/>
      <c r="D32" s="46"/>
      <c r="E32" s="46"/>
      <c r="F32" s="284" t="s">
        <v>109</v>
      </c>
      <c r="G32" s="285"/>
      <c r="H32" s="41">
        <f>SUM(H31:H31)</f>
        <v>4.72</v>
      </c>
    </row>
  </sheetData>
  <mergeCells count="9">
    <mergeCell ref="A2:G2"/>
    <mergeCell ref="A30:B30"/>
    <mergeCell ref="F32:G32"/>
    <mergeCell ref="A4:B4"/>
    <mergeCell ref="A27:H27"/>
    <mergeCell ref="E11:F11"/>
    <mergeCell ref="A13:G13"/>
    <mergeCell ref="A15:B15"/>
    <mergeCell ref="E22:F22"/>
  </mergeCells>
  <pageMargins left="0.511811024" right="0.511811024" top="0.78740157499999996" bottom="0.78740157499999996" header="0.31496062000000002" footer="0.31496062000000002"/>
  <pageSetup paperSize="9" scale="55" orientation="portrait" horizontalDpi="4294967293" r:id="rId1"/>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Quadro resumo</vt:lpstr>
      <vt:lpstr>Recepcionista</vt:lpstr>
      <vt:lpstr>Telefonista</vt:lpstr>
      <vt:lpstr>Insumos</vt:lpstr>
      <vt:lpstr>Telefonista!Area_de_impressao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Michelly de Souza Ferraz</cp:lastModifiedBy>
  <cp:lastPrinted>2026-05-21T20:23:44Z</cp:lastPrinted>
  <dcterms:created xsi:type="dcterms:W3CDTF">2010-12-08T17:56:29Z</dcterms:created>
  <dcterms:modified xsi:type="dcterms:W3CDTF">2026-06-15T17:49:13Z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